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4CrHe2Ykq1D1zKrDA7mp1ImJA2lFWX8Q4e70gNcgFMtw3L/2yDecQP6SeSCrA/Awey35lNAPIY4pV5f4RikyBA==" workbookSaltValue="d1UbOMGVuHSKwk3zBbV1k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E15" i="2"/>
  <c r="E16" i="2"/>
  <c r="E17" i="2"/>
  <c r="C16" i="2"/>
  <c r="D16" i="2" s="1"/>
  <c r="C17" i="2"/>
  <c r="D17" i="2" s="1"/>
  <c r="I9" i="2"/>
  <c r="I10" i="2"/>
  <c r="I11" i="2"/>
  <c r="I12" i="2"/>
  <c r="AO12" i="17" s="1"/>
  <c r="C10" i="2"/>
  <c r="D10" i="2" s="1"/>
  <c r="C11" i="2"/>
  <c r="D11" i="2" s="1"/>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AB19" i="19"/>
  <c r="ER19" i="8"/>
  <c r="EL19" i="8"/>
  <c r="AC11" i="11"/>
  <c r="EQ19" i="8"/>
  <c r="AP12" i="11"/>
  <c r="Y11" i="11"/>
  <c r="AT18" i="17"/>
  <c r="B16" i="6"/>
  <c r="AL10" i="11"/>
  <c r="N10" i="11"/>
  <c r="N9" i="11"/>
  <c r="T10" i="21"/>
  <c r="V10" i="21" s="1"/>
  <c r="AO16" i="11"/>
  <c r="F10" i="10"/>
  <c r="N11" i="11"/>
  <c r="ES19" i="8"/>
  <c r="C18" i="7"/>
  <c r="S19" i="13"/>
  <c r="AG19" i="19"/>
  <c r="F9" i="11"/>
  <c r="CI19" i="8"/>
  <c r="AE19" i="8"/>
  <c r="F17" i="16"/>
  <c r="BL17" i="16" s="1"/>
  <c r="EP19" i="8"/>
  <c r="ER19" i="13"/>
  <c r="AL13" i="16"/>
  <c r="BL9" i="11"/>
  <c r="P17" i="17"/>
  <c r="BK9" i="11"/>
  <c r="S13" i="16"/>
  <c r="H18" i="16"/>
  <c r="P13" i="16"/>
  <c r="AN13" i="20"/>
  <c r="F15" i="17"/>
  <c r="Z13" i="17"/>
  <c r="F17" i="17"/>
  <c r="AQ17" i="17" s="1"/>
  <c r="AO17" i="11"/>
  <c r="M13" i="2"/>
  <c r="N13" i="2"/>
  <c r="C17" i="6"/>
  <c r="B17" i="6"/>
  <c r="AO12" i="11"/>
  <c r="L12" i="14"/>
  <c r="B12" i="6"/>
  <c r="T19" i="8"/>
  <c r="T13" i="12"/>
  <c r="BM12" i="11"/>
  <c r="BJ15" i="11"/>
  <c r="R17" i="20"/>
  <c r="R18" i="20" s="1"/>
  <c r="AZ15" i="11"/>
  <c r="AZ18" i="11" s="1"/>
  <c r="BV12" i="16"/>
  <c r="U10" i="17"/>
  <c r="AA16" i="16"/>
  <c r="T16" i="11"/>
  <c r="BI9" i="11"/>
  <c r="BH11" i="11"/>
  <c r="BH12" i="16"/>
  <c r="S19" i="8"/>
  <c r="AY18" i="8"/>
  <c r="BF15" i="8"/>
  <c r="AZ18" i="13"/>
  <c r="BD12" i="8"/>
  <c r="H12" i="7" s="1"/>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BF17" i="8" l="1"/>
  <c r="E18" i="12"/>
  <c r="AJ19" i="8"/>
  <c r="AW18" i="21"/>
  <c r="H15" i="2"/>
  <c r="AC10" i="11"/>
  <c r="H13" i="12"/>
  <c r="BG10" i="8"/>
  <c r="AY13" i="8"/>
  <c r="BE9" i="8"/>
  <c r="BA13" i="8"/>
  <c r="F9" i="2"/>
  <c r="E11" i="6"/>
  <c r="H12" i="2"/>
  <c r="M18" i="2"/>
  <c r="N18" i="2"/>
  <c r="AL11" i="11"/>
  <c r="B9" i="6"/>
  <c r="C10" i="6"/>
  <c r="BD15" i="8"/>
  <c r="H15" i="7" s="1"/>
  <c r="BE15" i="8"/>
  <c r="I15" i="7" s="1"/>
  <c r="BG16" i="8"/>
  <c r="E18" i="2"/>
  <c r="F18" i="2" s="1"/>
  <c r="AL15" i="11"/>
  <c r="L16" i="14"/>
  <c r="F15" i="11"/>
  <c r="AQ15" i="11" s="1"/>
  <c r="F16" i="17"/>
  <c r="E9" i="6"/>
  <c r="BF9" i="13"/>
  <c r="D11" i="12"/>
  <c r="D12" i="12"/>
  <c r="BF11" i="8"/>
  <c r="BF9" i="8"/>
  <c r="BG9" i="8"/>
  <c r="K9" i="7" s="1"/>
  <c r="BD11" i="8"/>
  <c r="BE11" i="8"/>
  <c r="I11" i="12" s="1"/>
  <c r="BG12" i="8"/>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I12" i="7"/>
  <c r="C9" i="6"/>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AL18" i="11"/>
  <c r="F18" i="11"/>
  <c r="D19" i="5"/>
  <c r="I10" i="12"/>
  <c r="I9" i="12"/>
  <c r="B19" i="7"/>
  <c r="BW21" i="20"/>
  <c r="BK13" i="11"/>
  <c r="P16" i="11"/>
  <c r="AS16" i="20"/>
  <c r="C18" i="6"/>
  <c r="AM13" i="11"/>
  <c r="Y13"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<sst xmlns="http://schemas.openxmlformats.org/spreadsheetml/2006/main" count="2102" uniqueCount="918">
  <si>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</si>
  <si>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</si>
  <si>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</si>
  <si>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</si>
  <si>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</si>
  <si>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</si>
  <si>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</si>
  <si>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</si>
  <si>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</si>
  <si>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</si>
  <si>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</si>
  <si>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</si>
  <si>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</si>
  <si>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</si>
  <si>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</si>
  <si>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</si>
  <si>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</si>
  <si>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</si>
  <si>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</si>
  <si>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</si>
  <si>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</si>
  <si>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</si>
  <si>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</si>
  <si>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</si>
  <si>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</si>
  <si>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</si>
  <si>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</si>
  <si>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</si>
  <si>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</si>
  <si>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</si>
  <si>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</si>
  <si>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</si>
  <si>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</si>
  <si>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</si>
  <si>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</si>
  <si>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</si>
  <si>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</si>
  <si>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</si>
  <si>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</si>
  <si>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</si>
  <si>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</si>
  <si>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</si>
  <si>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</si>
  <si>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</si>
  <si>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</si>
  <si>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</si>
  <si>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</si>
  <si>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</si>
  <si>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</si>
  <si>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</si>
  <si>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</si>
  <si>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</si>
  <si>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</si>
  <si>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</si>
  <si>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</si>
  <si>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</si>
  <si>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</si>
  <si>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</si>
  <si>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</si>
  <si>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</si>
  <si>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</si>
  <si>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</si>
  <si>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</si>
  <si>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</si>
  <si>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</si>
  <si>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</si>
  <si>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</si>
  <si>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</si>
  <si>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</si>
  <si>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</si>
  <si>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</si>
  <si>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</si>
  <si>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</si>
  <si>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</si>
  <si>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</si>
  <si>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</si>
  <si>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</si>
  <si>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</si>
  <si>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</si>
  <si>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</si>
  <si>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</si>
  <si>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</si>
  <si>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</si>
  <si>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</si>
  <si>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</si>
  <si>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</si>
  <si>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</si>
  <si>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</si>
  <si>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</si>
  <si>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</si>
  <si>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</si>
  <si>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</si>
  <si>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</si>
  <si>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</si>
  <si>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</si>
  <si>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</si>
  <si>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</si>
  <si>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</si>
  <si>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</si>
  <si>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</si>
  <si>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</si>
  <si>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</si>
  <si>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</si>
  <si>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</si>
  <si>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</si>
  <si>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</si>
  <si>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</si>
  <si>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</si>
  <si>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</si>
  <si>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</si>
  <si>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</si>
  <si>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</si>
  <si>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</si>
  <si>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</si>
  <si>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</si>
  <si>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</si>
  <si>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</si>
  <si>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</si>
  <si>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</si>
  <si>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</si>
  <si>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</si>
  <si>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</si>
  <si>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</si>
  <si>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</si>
  <si>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</si>
  <si>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</si>
  <si>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</si>
  <si>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</si>
  <si>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</si>
  <si>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</si>
  <si>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</si>
  <si>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</si>
  <si>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</si>
  <si>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</si>
  <si>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</si>
  <si>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</si>
  <si>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</si>
  <si>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</si>
  <si>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</si>
  <si>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</si>
  <si>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</si>
  <si>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</si>
  <si>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</si>
  <si>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</si>
  <si>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</si>
  <si>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</si>
  <si>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</si>
  <si>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</si>
  <si>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</si>
  <si>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</si>
  <si>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</si>
  <si>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</si>
  <si>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</si>
  <si>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</si>
  <si>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</si>
  <si>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</si>
  <si>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</si>
  <si>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</si>
  <si>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</si>
  <si>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</si>
  <si>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</si>
  <si>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</si>
  <si>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</si>
  <si>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</si>
  <si>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</si>
  <si>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</si>
  <si>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</si>
  <si>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</si>
  <si>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</si>
  <si>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</si>
  <si>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</si>
  <si>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</si>
  <si>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</si>
  <si>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</si>
  <si>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</si>
  <si>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</si>
  <si>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</si>
  <si>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</si>
  <si>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</si>
  <si>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</si>
  <si>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</si>
  <si>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</si>
  <si>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</si>
  <si>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</si>
  <si>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</si>
  <si>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</si>
  <si>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</si>
  <si>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</si>
  <si>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</si>
  <si>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</si>
  <si>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</si>
  <si>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</si>
  <si>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</si>
  <si>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</si>
  <si>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</si>
  <si>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</si>
  <si>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</si>
  <si>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</si>
  <si>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</si>
  <si>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</si>
  <si>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</si>
  <si>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</si>
  <si>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</si>
  <si>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</si>
  <si>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</si>
  <si>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</si>
  <si>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</si>
  <si>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</si>
  <si>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</si>
  <si>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</si>
  <si>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</si>
  <si>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</si>
  <si>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</si>
  <si>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</si>
  <si>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</si>
  <si>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</si>
  <si>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</si>
  <si>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</si>
  <si>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</si>
  <si>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</si>
  <si>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</si>
  <si>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</si>
  <si>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</si>
  <si>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</si>
  <si>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</si>
  <si>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</si>
  <si>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</si>
  <si>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</si>
  <si>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</si>
  <si>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</si>
  <si>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</si>
  <si>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</si>
  <si>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</si>
  <si>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</si>
  <si>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</si>
  <si>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</si>
  <si>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</si>
  <si>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</si>
  <si>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</si>
  <si>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</si>
  <si>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</si>
  <si>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</si>
  <si>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</si>
  <si>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</si>
  <si>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</si>
  <si>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</si>
  <si>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</si>
  <si>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</si>
  <si>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</si>
  <si>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</si>
  <si>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</si>
  <si>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</si>
  <si>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</si>
  <si>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</si>
  <si>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</si>
  <si>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</si>
  <si>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</si>
  <si>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</si>
  <si>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</si>
  <si>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</si>
  <si>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</si>
  <si>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</si>
  <si>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</si>
  <si>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</si>
  <si>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</si>
  <si>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</si>
  <si>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</si>
  <si>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</si>
  <si>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</si>
  <si>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</si>
  <si>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</si>
  <si>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</si>
  <si>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</si>
  <si>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</si>
  <si>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</si>
  <si>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</si>
  <si>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</si>
  <si>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</si>
  <si>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</si>
  <si>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</si>
  <si>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</si>
  <si>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</si>
  <si>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</si>
  <si>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</si>
  <si>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</si>
  <si>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</si>
  <si>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</si>
  <si>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</si>
  <si>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</si>
  <si>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</si>
  <si>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</si>
  <si>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</si>
  <si>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</si>
  <si>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</si>
  <si>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</si>
  <si>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</si>
  <si>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</si>
  <si>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</si>
  <si>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</si>
  <si>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</si>
  <si>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</si>
  <si>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</si>
  <si>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</si>
  <si>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</si>
  <si>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</si>
  <si>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</si>
  <si>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</si>
  <si>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</si>
  <si>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</si>
  <si>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</si>
  <si>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</si>
  <si>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</si>
  <si>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</si>
  <si>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</si>
  <si>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</si>
  <si>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</si>
  <si>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</si>
  <si>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</si>
  <si>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</si>
  <si>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</si>
  <si>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</si>
  <si>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</si>
  <si>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</si>
  <si>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</si>
  <si>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</si>
  <si>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</si>
  <si>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</si>
  <si>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</si>
  <si>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</si>
  <si>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</si>
  <si>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</si>
  <si>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</si>
  <si>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</si>
  <si>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</si>
  <si>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</si>
  <si>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</si>
  <si>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</si>
  <si>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</si>
  <si>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</si>
  <si>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</si>
  <si>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</si>
  <si>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</si>
  <si>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</si>
  <si>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</si>
  <si>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</si>
  <si>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</si>
  <si>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</si>
  <si>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</si>
  <si>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</si>
  <si>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</si>
  <si>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</si>
  <si>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</si>
  <si>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</si>
  <si>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</si>
  <si>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</si>
  <si>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</si>
  <si>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</si>
  <si>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</si>
  <si>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</si>
  <si>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</si>
  <si>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</si>
  <si>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</si>
  <si>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</si>
  <si>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</si>
  <si>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</si>
  <si>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</si>
  <si>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</si>
  <si>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</si>
  <si>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</si>
  <si>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</si>
  <si>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</si>
  <si>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</si>
  <si>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</si>
  <si>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</si>
  <si>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</si>
  <si>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</si>
  <si>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</si>
  <si>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</si>
  <si>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</si>
  <si>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</si>
  <si>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</si>
  <si>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</si>
  <si>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</si>
  <si>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</si>
  <si>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</si>
  <si>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</si>
  <si>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</si>
  <si>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</si>
  <si>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</si>
  <si>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</si>
  <si>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</si>
  <si>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</si>
  <si>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</si>
  <si>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</si>
  <si>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</si>
  <si>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</si>
  <si>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</si>
  <si>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</si>
  <si>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</si>
  <si>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</si>
  <si>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</si>
  <si>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</si>
  <si>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</si>
  <si>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</si>
  <si>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</si>
  <si>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</si>
  <si>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</si>
  <si>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</si>
  <si>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</si>
  <si>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</si>
  <si>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</si>
  <si>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</si>
  <si>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</si>
  <si>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</si>
  <si>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</si>
  <si>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</si>
  <si>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</si>
  <si>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</si>
  <si>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</si>
  <si>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</si>
  <si>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</si>
  <si>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</si>
  <si>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</si>
  <si>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</si>
  <si>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</si>
  <si>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</si>
  <si>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</si>
  <si>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</si>
  <si>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</si>
  <si>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</si>
  <si>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</si>
  <si>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</si>
  <si>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</si>
  <si>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</si>
  <si>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</si>
  <si>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</si>
  <si>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</si>
  <si>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</si>
  <si>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</si>
  <si>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</si>
  <si>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</si>
  <si>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</si>
  <si>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</si>
  <si>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</si>
  <si>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</si>
  <si>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</si>
  <si>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</si>
  <si>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</si>
  <si>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</si>
  <si>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</si>
  <si>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</si>
  <si>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</si>
  <si>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</si>
  <si>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</si>
  <si>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</si>
  <si>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</si>
  <si>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</si>
  <si>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</si>
  <si>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</si>
  <si>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</si>
  <si>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</si>
  <si>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</si>
  <si>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</si>
  <si>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</si>
  <si>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</si>
  <si>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</si>
  <si>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</si>
  <si>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</si>
  <si>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</si>
  <si>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</si>
  <si>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</si>
  <si>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</si>
  <si>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</si>
  <si>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</si>
  <si>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</si>
  <si>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</si>
  <si>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</si>
  <si>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</si>
  <si>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</si>
  <si>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</si>
  <si>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</si>
  <si>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</si>
  <si>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</si>
  <si>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</si>
  <si>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</si>
  <si>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</si>
  <si>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</si>
  <si>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</si>
  <si>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</si>
  <si>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</si>
  <si>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</si>
  <si>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</si>
  <si>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</si>
  <si>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</si>
  <si>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</si>
  <si>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</si>
  <si>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</si>
  <si>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</si>
  <si>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</si>
  <si>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</si>
  <si>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</si>
  <si>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</si>
  <si>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</si>
  <si>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</si>
  <si>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</si>
  <si>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</si>
  <si>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</si>
  <si>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</si>
  <si>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</si>
  <si>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</si>
  <si>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</si>
  <si>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</si>
  <si>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</si>
  <si>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</si>
  <si>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</si>
  <si>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</si>
  <si>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</si>
  <si>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</si>
  <si>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</si>
  <si>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</si>
  <si>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</si>
  <si>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</si>
  <si>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</si>
  <si>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</si>
  <si>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</si>
  <si>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</si>
  <si>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</si>
  <si>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</si>
  <si>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</si>
  <si>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</si>
  <si>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</si>
  <si>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</si>
  <si>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</si>
  <si>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</si>
  <si>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</si>
  <si>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</si>
  <si>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</si>
  <si>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</si>
  <si>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</si>
  <si>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</si>
  <si>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</si>
  <si>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</si>
  <si>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</si>
  <si>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</si>
  <si>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</si>
  <si>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</si>
  <si>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</si>
  <si>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</si>
  <si>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</si>
  <si>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</si>
  <si>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</si>
  <si>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</si>
  <si>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</si>
  <si>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</si>
  <si>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</si>
  <si>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</si>
  <si>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</si>
  <si>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</si>
  <si>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</si>
  <si>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</si>
  <si>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</si>
  <si>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</si>
  <si>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</si>
  <si>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</si>
  <si>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</si>
  <si>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</si>
  <si>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</si>
  <si>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</si>
  <si>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</si>
  <si>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</si>
  <si>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</si>
  <si>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</si>
  <si>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</si>
  <si>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</si>
  <si>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</si>
  <si>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</si>
  <si>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</si>
  <si>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</si>
  <si>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</si>
  <si>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</si>
  <si>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</si>
  <si>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</si>
  <si>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</si>
  <si>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</si>
  <si>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</si>
  <si>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</si>
  <si>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</si>
  <si>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</si>
  <si>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</si>
  <si>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</si>
  <si>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</si>
  <si>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</si>
  <si>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</si>
  <si>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</si>
  <si>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</si>
  <si>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</si>
  <si>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</si>
  <si>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</si>
  <si>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</si>
  <si>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</si>
  <si>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</si>
  <si>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</si>
  <si>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</si>
  <si>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</si>
  <si>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</si>
  <si>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</si>
  <si>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</si>
  <si>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</si>
  <si>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</si>
  <si>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</si>
  <si>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</si>
  <si>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</si>
  <si>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</si>
  <si>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</si>
  <si>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</si>
  <si>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</si>
  <si>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</si>
  <si>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</si>
  <si>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</si>
  <si>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</si>
  <si>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</si>
  <si>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</si>
  <si>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</si>
  <si>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</si>
  <si>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</si>
  <si>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</si>
  <si>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</si>
  <si>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</si>
  <si>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</si>
  <si>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</si>
  <si>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</si>
  <si>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</si>
  <si>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</si>
  <si>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</si>
  <si>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</si>
  <si>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</si>
  <si>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</si>
  <si>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</si>
  <si>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</si>
  <si>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</si>
  <si>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</si>
  <si>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</si>
  <si>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</si>
  <si>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</si>
  <si>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</si>
  <si>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</si>
  <si>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</si>
  <si>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</si>
  <si>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</si>
  <si>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</si>
  <si>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</si>
  <si>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</si>
  <si>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</si>
  <si>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</si>
  <si>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</si>
  <si>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</si>
  <si>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</si>
  <si>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</si>
  <si>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</si>
  <si>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</si>
  <si>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</si>
  <si>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</si>
  <si>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</si>
  <si>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</si>
  <si>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</si>
  <si>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</si>
  <si>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</si>
  <si>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</si>
  <si>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</si>
  <si>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</si>
  <si>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</si>
  <si>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</si>
  <si>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</si>
  <si>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</si>
  <si>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</si>
  <si>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</si>
  <si>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</si>
  <si>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</si>
  <si>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</si>
  <si>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</si>
  <si>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</si>
  <si>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</si>
  <si>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</si>
  <si>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</si>
  <si>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</si>
  <si>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</si>
  <si>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</si>
  <si>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</si>
  <si>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</si>
  <si>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</si>
  <si>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</si>
  <si>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</si>
  <si>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</si>
  <si>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</si>
  <si>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</si>
  <si>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</si>
  <si>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</si>
  <si>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</si>
  <si>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</si>
  <si>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</si>
  <si>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</si>
  <si>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</si>
  <si>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</si>
  <si>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</si>
  <si>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</si>
  <si>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</si>
  <si>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</si>
  <si>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</si>
  <si>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</si>
  <si>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</si>
  <si>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</si>
  <si>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</si>
  <si>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</si>
  <si>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</si>
  <si>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</si>
  <si>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</si>
  <si>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</si>
  <si>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</si>
  <si>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</si>
  <si>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</si>
  <si>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</si>
  <si>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</si>
  <si>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</si>
  <si>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</si>
  <si>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</si>
  <si>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</si>
  <si>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</si>
  <si>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</si>
  <si>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</si>
  <si>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</si>
  <si>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</si>
  <si>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</si>
  <si>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</si>
  <si>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</si>
  <si>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</si>
  <si>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</si>
  <si>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</si>
  <si>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</si>
  <si>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</si>
  <si>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</si>
  <si>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</si>
  <si>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</si>
  <si>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</si>
  <si>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</si>
  <si>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</si>
  <si>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</si>
  <si>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</si>
  <si>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</si>
  <si>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</si>
  <si>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</si>
  <si>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</si>
  <si>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</si>
  <si>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</si>
  <si>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</si>
  <si>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</si>
  <si>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</si>
  <si>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</si>
  <si>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</si>
  <si>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</si>
  <si>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</si>
  <si>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</si>
  <si>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</si>
  <si>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</si>
  <si>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</si>
  <si>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</si>
  <si>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</si>
  <si>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</si>
  <si>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</si>
  <si>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</si>
  <si>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</si>
  <si>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</si>
  <si>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</si>
  <si>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</si>
  <si>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</si>
  <si>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</si>
  <si>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</si>
  <si>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</si>
  <si>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</si>
  <si>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</si>
  <si>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</si>
  <si>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</si>
  <si>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</si>
  <si>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</si>
  <si>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</si>
  <si>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</si>
  <si>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</si>
  <si>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</si>
  <si>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</si>
  <si>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</si>
  <si>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</si>
  <si>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</si>
  <si>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</si>
  <si>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</si>
  <si>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</si>
  <si>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</si>
  <si>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</si>
  <si>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</si>
  <si>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</si>
  <si>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</si>
  <si>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</si>
  <si>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</si>
  <si>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</si>
  <si>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</si>
  <si>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</si>
  <si>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</si>
  <si>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</si>
  <si>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</si>
  <si>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</si>
  <si>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</si>
  <si>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</si>
  <si>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</si>
  <si>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</si>
  <si>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</si>
  <si>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</si>
  <si>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</si>
  <si>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</si>
  <si>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</si>
  <si>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</si>
  <si>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</si>
  <si>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</si>
  <si>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</si>
  <si>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</si>
  <si>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</si>
  <si>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</si>
  <si>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</si>
  <si>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</si>
  <si>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</si>
  <si>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</si>
  <si>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</si>
  <si>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</si>
  <si>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</si>
  <si>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</si>
  <si>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</si>
  <si>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</si>
  <si>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</si>
  <si>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</si>
  <si>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</si>
  <si>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</si>
  <si>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</si>
  <si>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</si>
  <si>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</si>
  <si>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</si>
  <si>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</si>
  <si>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</si>
  <si>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</si>
  <si>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</si>
  <si>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</si>
  <si>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</si>
  <si>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</si>
  <si>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</si>
  <si>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</si>
  <si>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</si>
  <si>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</si>
  <si>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</si>
  <si>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</si>
  <si>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</si>
  <si>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</si>
  <si>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</si>
  <si>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</si>
  <si>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</si>
  <si>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</si>
  <si>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</si>
  <si>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</si>
  <si>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</si>
  <si>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</si>
  <si>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</si>
  <si>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</si>
  <si>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</si>
  <si>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</si>
  <si>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</si>
  <si>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</si>
  <si>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</si>
  <si>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</si>
  <si>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</si>
  <si>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</si>
  <si>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</si>
  <si>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</si>
  <si>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</si>
  <si>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</si>
  <si>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</si>
  <si>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</si>
  <si>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</si>
  <si>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</si>
  <si>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</si>
  <si>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</si>
  <si>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</si>
  <si>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</si>
  <si>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</si>
  <si>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</si>
  <si>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</si>
  <si>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</si>
  <si>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</si>
  <si>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</si>
  <si>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</si>
  <si>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</si>
  <si>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</si>
  <si>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</si>
  <si>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</si>
  <si>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</si>
  <si>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</si>
  <si>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</si>
  <si>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</si>
  <si>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</si>
  <si>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</si>
  <si>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</si>
  <si>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</si>
  <si>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</si>
  <si>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</si>
  <si>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</si>
  <si>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</si>
  <si>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</si>
  <si>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</si>
  <si>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</si>
  <si>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</si>
  <si>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</si>
  <si>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</si>
  <si>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</si>
  <si>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HOSPITALET DE LLOBREGAT,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</si>
</sst>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DegNFo6WBDckfciAiRhdjuUrTEnZvwBRqaWUP1vbhIOzjGcRTzoxC92KcdpEaYyoBCEIT4gx1y7cjPMNqfVA==" saltValue="LF+q8xgZfx98+3W/cVEV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9</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8.2874058127018309</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193</v>
      </c>
      <c r="D10" s="224">
        <f>IF(ISNUMBER(Datos!I10),Datos!I10," - ")</f>
        <v>192</v>
      </c>
      <c r="E10" s="225">
        <f>IF(ISNUMBER(Datos!J10),Datos!J10," - ")</f>
        <v>201</v>
      </c>
      <c r="F10" s="225">
        <f>IF(ISNUMBER(Datos!K10),Datos!K10," - ")</f>
        <v>222</v>
      </c>
      <c r="G10" s="1033" t="str">
        <f>IF(Datos!E10&lt;&gt;"",Datos!E10,Datos!D10)</f>
        <v>37</v>
      </c>
      <c r="H10" s="226">
        <f>IF(ISNUMBER(Datos!L10),Datos!L10," - ")</f>
        <v>172</v>
      </c>
      <c r="I10" s="1043" t="str">
        <f>IF(ISNUMBER(Datos!AS10/Datos!BM10),Datos!AS10/Datos!BM10," - ")</f>
        <v xml:space="preserve"> - </v>
      </c>
      <c r="J10" s="1044">
        <f>IF(ISNUMBER(Datos!BY10/Datos!CN10),Datos!BY10/Datos!CN10," - ")</f>
        <v>0</v>
      </c>
      <c r="K10" s="229">
        <f t="shared" ref="K10:K12" si="1">IF(ISNUMBER((E10-F10)/C10),(E10-F10)/C10," - ")</f>
        <v>-0.10880829015544041</v>
      </c>
      <c r="L10" s="1024">
        <f>IF(ISNUMBER(NºAsuntos!I10/NºAsuntos!G10),(NºAsuntos!I10/NºAsuntos!G10)*11," - ")</f>
        <v>8.5225225225225216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193</v>
      </c>
      <c r="D13" s="1048">
        <f>SUBTOTAL(9,D9:D12)</f>
        <v>192</v>
      </c>
      <c r="E13" s="1049">
        <f>SUBTOTAL(9,E9:E12)</f>
        <v>201</v>
      </c>
      <c r="F13" s="1050">
        <f>SUBTOTAL(9,F9:F12)</f>
        <v>222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4504</v>
      </c>
      <c r="D15" s="224">
        <f>IF(ISNUMBER(IF(D_I="SI",Datos!I15,Datos!I15+Datos!AC15)),IF(D_I="SI",Datos!I15,Datos!I15+Datos!AC15)," - ")</f>
        <v>4381</v>
      </c>
      <c r="E15" s="225">
        <f>IF(ISNUMBER(IF(D_I="SI",Datos!J15,Datos!J15+Datos!AD15)),IF(D_I="SI",Datos!J15,Datos!J15+Datos!AD15)," - ")</f>
        <v>27795</v>
      </c>
      <c r="F15" s="225">
        <f>IF(ISNUMBER(IF(D_I="SI",Datos!K15,Datos!K15+Datos!AE15)),IF(D_I="SI",Datos!K15,Datos!K15+Datos!AE15)," - ")</f>
        <v>26013</v>
      </c>
      <c r="G15" s="1033" t="str">
        <f>IF(Datos!E15&lt;&gt;"",Datos!E15,Datos!D15)</f>
        <v>03</v>
      </c>
      <c r="H15" s="226">
        <f>IF(ISNUMBER(IF(D_I="SI",Datos!L15,Datos!L15+Datos!AF15)),IF(D_I="SI",Datos!L15,Datos!L15+Datos!AF15)," - ")</f>
        <v>6286</v>
      </c>
      <c r="I15" s="1043" t="str">
        <f>IF(ISNUMBER(Datos!AS15/Datos!BM15),Datos!AS15/Datos!BM15," - ")</f>
        <v xml:space="preserve"> - </v>
      </c>
      <c r="J15" s="1044">
        <f>IF(ISNUMBER(Datos!BY15/Datos!CN15),Datos!BY15/Datos!CN15," - ")</f>
        <v>0</v>
      </c>
      <c r="K15" s="229">
        <f t="shared" ref="K15:K17" si="3">IF(ISNUMBER((E15-F15)/C15),(E15-F15)/C15," - ")</f>
        <v>0.39564831261101241</v>
      </c>
      <c r="L15" s="1024">
        <f>IF(ISNUMBER(NºAsuntos!I15/NºAsuntos!G15),(NºAsuntos!I15/NºAsuntos!G15)*11," - ")</f>
        <v>2.6581324722254256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654</v>
      </c>
      <c r="D17" s="224">
        <f>IF(ISNUMBER(IF(D_I="SI",Datos!I17,Datos!I17+Datos!AC17)),IF(D_I="SI",Datos!I17,Datos!I17+Datos!AC17)," - ")</f>
        <v>658</v>
      </c>
      <c r="E17" s="225">
        <f>IF(ISNUMBER(IF(D_I="SI",Datos!J17,Datos!J17+Datos!AD17)),IF(D_I="SI",Datos!J17,Datos!J17+Datos!AD17)," - ")</f>
        <v>2130</v>
      </c>
      <c r="F17" s="225">
        <f>IF(ISNUMBER(IF(D_I="SI",Datos!K17,Datos!K17+Datos!AE17)),IF(D_I="SI",Datos!K17,Datos!K17+Datos!AE17)," - ")</f>
        <v>2148</v>
      </c>
      <c r="G17" s="1033" t="str">
        <f>IF(Datos!E17&lt;&gt;"",Datos!E17,Datos!D17)</f>
        <v>37</v>
      </c>
      <c r="H17" s="226">
        <f>IF(ISNUMBER(IF(D_I="SI",Datos!L17,Datos!L17+Datos!AF17)),IF(D_I="SI",Datos!L17,Datos!L17+Datos!AF17)," - ")</f>
        <v>636</v>
      </c>
      <c r="I17" s="1043" t="str">
        <f>IF(ISNUMBER(Datos!AS17/Datos!BM17),Datos!AS17/Datos!BM17," - ")</f>
        <v xml:space="preserve"> - </v>
      </c>
      <c r="J17" s="1044" t="str">
        <f>IF(ISNUMBER((Datos!BY17+Datos!BZ17)/Datos!CN17),(Datos!BY17+Datos!BZ17)/Datos!CN17," - ")</f>
        <v xml:space="preserve"> - </v>
      </c>
      <c r="K17" s="229">
        <f t="shared" si="3"/>
        <v>-2.7522935779816515E-2</v>
      </c>
      <c r="L17" s="1024">
        <f>IF(ISNUMBER(NºAsuntos!I17/NºAsuntos!G17),(NºAsuntos!I17/NºAsuntos!G17)*11," - ")</f>
        <v>3.2569832402234637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5158</v>
      </c>
      <c r="D18" s="1048">
        <f>SUBTOTAL(9,D15:D17)</f>
        <v>5039</v>
      </c>
      <c r="E18" s="1049">
        <f>SUBTOTAL(9,E15:E17)</f>
        <v>29925</v>
      </c>
      <c r="F18" s="1049">
        <f>SUBTOTAL(9,F15:F17)</f>
        <v>28161</v>
      </c>
      <c r="G18" s="1051" t="str">
        <f ca="1">INDIRECT(CONCATENATE("G",ROW()-1))</f>
        <v>37</v>
      </c>
      <c r="H18" s="1052">
        <f ca="1">SUMIF(G$14:G17,G18,H$14:H17)</f>
        <v>636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5351</v>
      </c>
      <c r="D19" s="1070">
        <f>SUBTOTAL(9,D9:D18)</f>
        <v>5231</v>
      </c>
      <c r="E19" s="1071">
        <f>SUBTOTAL(9,E9:E18)</f>
        <v>30126</v>
      </c>
      <c r="F19" s="1071">
        <f>SUBTOTAL(9,F9:F18)</f>
        <v>28383</v>
      </c>
      <c r="G19" s="1072"/>
      <c r="H19" s="1073">
        <f ca="1">SUMIF(B9:B18,"TOTAL",H9:H18)</f>
        <v>636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0q75X/r2pZd7LkvixbvSXyfJrJ7aGTOM9drlkep5gqpRBQnW87g0rzqtaPdXgDF680ksdgVuN/FpjBttdOZFw==" saltValue="JEnqYeM2AJom/7BxhfT1L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8W0e6lK9WW7nU00zYB/J+GgwC1DcSGZvj5HeCl8NczlUXMTTGLeiCwUFJAP5wRa8DdzGxqPipnNfNKd3Bnydw==" saltValue="lzcYcZmJFE3yo8DluJrK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16704</v>
      </c>
      <c r="J9" s="180">
        <v>18004</v>
      </c>
      <c r="K9" s="180">
        <v>19384</v>
      </c>
      <c r="L9" s="180">
        <v>14873</v>
      </c>
      <c r="M9" s="180">
        <v>3930</v>
      </c>
      <c r="N9" s="180">
        <v>11637</v>
      </c>
      <c r="O9" s="180">
        <v>6520</v>
      </c>
      <c r="P9" s="180">
        <v>5644</v>
      </c>
      <c r="Q9" s="180">
        <v>7286</v>
      </c>
      <c r="R9" s="180">
        <v>15381</v>
      </c>
      <c r="S9" s="180">
        <v>17528</v>
      </c>
      <c r="T9" s="180">
        <v>18139</v>
      </c>
      <c r="U9" s="180">
        <v>18920</v>
      </c>
      <c r="V9" s="180">
        <v>16704</v>
      </c>
      <c r="W9" s="180">
        <v>3883</v>
      </c>
      <c r="X9" s="187">
        <v>10402</v>
      </c>
      <c r="Y9" s="190">
        <v>491</v>
      </c>
      <c r="Z9" s="180">
        <v>1177</v>
      </c>
      <c r="AA9" s="180">
        <v>1054</v>
      </c>
      <c r="AB9" s="180">
        <v>525</v>
      </c>
      <c r="AC9" s="180">
        <v>0</v>
      </c>
      <c r="AD9" s="180">
        <v>0</v>
      </c>
      <c r="AE9" s="180">
        <v>0</v>
      </c>
      <c r="AF9" s="187">
        <v>0</v>
      </c>
      <c r="AG9" s="190">
        <v>555</v>
      </c>
      <c r="AH9" s="180">
        <v>1328</v>
      </c>
      <c r="AI9" s="180">
        <v>1397</v>
      </c>
      <c r="AJ9" s="191">
        <v>491</v>
      </c>
      <c r="AK9" s="179">
        <v>0</v>
      </c>
      <c r="AL9" s="180">
        <v>0</v>
      </c>
      <c r="AM9" s="180">
        <v>0</v>
      </c>
      <c r="AN9" s="187">
        <v>0</v>
      </c>
      <c r="AO9" s="257">
        <v>9</v>
      </c>
      <c r="AP9" s="153">
        <v>9</v>
      </c>
      <c r="AQ9" s="153">
        <v>9</v>
      </c>
      <c r="AR9" s="192">
        <v>9</v>
      </c>
      <c r="AS9" s="337" t="s">
        <v>791</v>
      </c>
      <c r="AT9" s="194"/>
      <c r="AU9" s="193"/>
      <c r="AV9" s="194"/>
      <c r="AW9" s="193"/>
      <c r="AX9" s="194"/>
      <c r="AY9" s="123">
        <f>IF(ISNUMBER(IF(J_V="SI",S9,S9+AG9)),IF(J_V="SI",S9,S9+AG9)," - ")</f>
        <v>18083</v>
      </c>
      <c r="AZ9" s="123">
        <f>IF(ISNUMBER(IF(J_V="SI",T9,T9+AH9)),IF(J_V="SI",T9,T9+AH9)," - ")</f>
        <v>19467</v>
      </c>
      <c r="BA9" s="124">
        <f>IF(ISNUMBER(IF(J_V="SI",U9,U9+AI9)),IF(J_V="SI",U9,U9+AI9)," - ")</f>
        <v>20317</v>
      </c>
      <c r="BB9" s="124">
        <f>IF(ISNUMBER(IF(J_V="SI",V9,V9+AJ9)),IF(J_V="SI",V9,V9+AJ9)," - ")</f>
        <v>17195</v>
      </c>
      <c r="BC9" s="125">
        <f>IF(ISNUMBER(X9),X9," - ")</f>
        <v>10402</v>
      </c>
      <c r="BD9" s="126">
        <f>IF(ISNUMBER(BA9/AZ9),BA9/AZ9," - ")</f>
        <v>1.0436636358966456</v>
      </c>
      <c r="BE9" s="127">
        <f>IF(ISNUMBER(BB9/BA9),BB9/BA9, " - ")</f>
        <v>0.84633558104050799</v>
      </c>
      <c r="BF9" s="127">
        <f>IF(ISNUMBER(BC9/BA9),BC9/BA9, " - ")</f>
        <v>0.51198503716099819</v>
      </c>
      <c r="BG9" s="195">
        <f>IF(ISNUMBER((AY9+AZ9)/BA9),(AY9+AZ9)/BA9," - ")</f>
        <v>1.8482059359157357</v>
      </c>
      <c r="BH9" s="153">
        <v>9</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192</v>
      </c>
      <c r="J10" s="180">
        <v>201</v>
      </c>
      <c r="K10" s="180">
        <v>222</v>
      </c>
      <c r="L10" s="180">
        <v>172</v>
      </c>
      <c r="M10" s="180">
        <v>88</v>
      </c>
      <c r="N10" s="180">
        <v>104</v>
      </c>
      <c r="O10" s="180">
        <v>43</v>
      </c>
      <c r="P10" s="180">
        <v>32</v>
      </c>
      <c r="Q10" s="180">
        <v>20</v>
      </c>
      <c r="R10" s="180">
        <v>151</v>
      </c>
      <c r="S10" s="180">
        <v>243</v>
      </c>
      <c r="T10" s="180">
        <v>229</v>
      </c>
      <c r="U10" s="180">
        <v>182</v>
      </c>
      <c r="V10" s="180">
        <v>192</v>
      </c>
      <c r="W10" s="180">
        <v>73</v>
      </c>
      <c r="X10" s="187">
        <v>74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243</v>
      </c>
      <c r="AZ10" s="129">
        <f t="shared" si="0"/>
        <v>229</v>
      </c>
      <c r="BA10" s="129">
        <f t="shared" si="0"/>
        <v>182</v>
      </c>
      <c r="BB10" s="129">
        <f t="shared" si="0"/>
        <v>192</v>
      </c>
      <c r="BC10" s="125">
        <f t="shared" si="0"/>
        <v>73</v>
      </c>
      <c r="BD10" s="126">
        <f>IF(ISNUMBER(BA10/AZ10),BA10/AZ10," - ")</f>
        <v>0.79475982532751088</v>
      </c>
      <c r="BE10" s="127">
        <f>IF(ISNUMBER(BB10/BA10),BB10/BA10, " - ")</f>
        <v>1.054945054945055</v>
      </c>
      <c r="BF10" s="127">
        <f>IF(ISNUMBER(BC10/BA10),BC10/BA10, " - ")</f>
        <v>0.40109890109890112</v>
      </c>
      <c r="BG10" s="195">
        <f>IF(ISNUMBER((AY10+AZ10)/BA10),(AY10+AZ10)/BA10," - ")</f>
        <v>2.5934065934065935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16896</v>
      </c>
      <c r="J13" s="183">
        <f t="shared" si="6"/>
        <v>18205</v>
      </c>
      <c r="K13" s="183">
        <f t="shared" si="6"/>
        <v>19606</v>
      </c>
      <c r="L13" s="183">
        <f t="shared" si="6"/>
        <v>15045</v>
      </c>
      <c r="M13" s="183">
        <f t="shared" si="6"/>
        <v>4018</v>
      </c>
      <c r="N13" s="183">
        <f t="shared" si="6"/>
        <v>11741</v>
      </c>
      <c r="O13" s="183">
        <f t="shared" si="6"/>
        <v>6563</v>
      </c>
      <c r="P13" s="183">
        <f t="shared" si="6"/>
        <v>5676</v>
      </c>
      <c r="Q13" s="183">
        <f t="shared" si="6"/>
        <v>7306</v>
      </c>
      <c r="R13" s="183">
        <f t="shared" si="6"/>
        <v>15532</v>
      </c>
      <c r="S13" s="183">
        <f t="shared" si="6"/>
        <v>17771</v>
      </c>
      <c r="T13" s="183">
        <f t="shared" si="6"/>
        <v>18368</v>
      </c>
      <c r="U13" s="183">
        <f t="shared" si="6"/>
        <v>19102</v>
      </c>
      <c r="V13" s="183">
        <f t="shared" si="6"/>
        <v>16896</v>
      </c>
      <c r="W13" s="183">
        <f t="shared" si="6"/>
        <v>3956</v>
      </c>
      <c r="X13" s="183">
        <f t="shared" si="6"/>
        <v>10476</v>
      </c>
      <c r="Y13" s="183">
        <f t="shared" si="6"/>
        <v>491</v>
      </c>
      <c r="Z13" s="183">
        <f t="shared" si="6"/>
        <v>1177</v>
      </c>
      <c r="AA13" s="183">
        <f t="shared" si="6"/>
        <v>1054</v>
      </c>
      <c r="AB13" s="183">
        <f t="shared" si="6"/>
        <v>525</v>
      </c>
      <c r="AC13" s="183">
        <f t="shared" si="6"/>
        <v>0</v>
      </c>
      <c r="AD13" s="183">
        <f t="shared" si="6"/>
        <v>0</v>
      </c>
      <c r="AE13" s="183">
        <f t="shared" si="6"/>
        <v>0</v>
      </c>
      <c r="AF13" s="183">
        <f>SUBTOTAL(9,AF9:AF12)</f>
        <v>0</v>
      </c>
      <c r="AG13" s="183">
        <f t="shared" ref="AG13:AT13" si="7">SUBTOTAL(9,AG8:AG12)</f>
        <v>555</v>
      </c>
      <c r="AH13" s="183">
        <f t="shared" si="7"/>
        <v>1328</v>
      </c>
      <c r="AI13" s="183">
        <f t="shared" si="7"/>
        <v>1397</v>
      </c>
      <c r="AJ13" s="183">
        <f t="shared" si="7"/>
        <v>491</v>
      </c>
      <c r="AK13" s="183">
        <f t="shared" si="7"/>
        <v>0</v>
      </c>
      <c r="AL13" s="183">
        <f t="shared" si="7"/>
        <v>0</v>
      </c>
      <c r="AM13" s="183">
        <f t="shared" si="7"/>
        <v>0</v>
      </c>
      <c r="AN13" s="183">
        <f t="shared" si="7"/>
        <v>0</v>
      </c>
      <c r="AO13" s="183">
        <f t="shared" si="7"/>
        <v>11</v>
      </c>
      <c r="AP13" s="183">
        <f t="shared" si="7"/>
        <v>11</v>
      </c>
      <c r="AQ13" s="183">
        <f t="shared" si="7"/>
        <v>11</v>
      </c>
      <c r="AR13" s="183">
        <f t="shared" si="7"/>
        <v>11</v>
      </c>
      <c r="AS13" s="183">
        <f t="shared" si="7"/>
        <v>0</v>
      </c>
      <c r="AT13" s="183">
        <f t="shared" si="7"/>
        <v>0</v>
      </c>
      <c r="AU13" s="203"/>
      <c r="AV13" s="132"/>
      <c r="AW13" s="203"/>
      <c r="AX13" s="132"/>
      <c r="AY13" s="183">
        <f>SUBTOTAL(9,AY8:AY12)</f>
        <v>18326</v>
      </c>
      <c r="AZ13" s="183">
        <f>SUBTOTAL(9,AZ8:AZ12)</f>
        <v>19696</v>
      </c>
      <c r="BA13" s="183">
        <f>SUBTOTAL(9,BA8:BA12)</f>
        <v>20499</v>
      </c>
      <c r="BB13" s="183">
        <f>SUBTOTAL(9,BB8:BB12)</f>
        <v>17387</v>
      </c>
      <c r="BC13" s="183">
        <f>SUBTOTAL(9,BC8:BC12)</f>
        <v>10475</v>
      </c>
      <c r="BD13" s="204">
        <f>IF(ISNUMBER(BA13/AZ13),BA13/AZ13," - ")</f>
        <v>1.0407696994313567</v>
      </c>
      <c r="BE13" s="205">
        <f>IF(ISNUMBER(BB13/BA13),BB13/BA13, " - ")</f>
        <v>0.84818771647397428</v>
      </c>
      <c r="BF13" s="205">
        <f>IF(ISNUMBER(BC13/BA13),BC13/BA13, " - ")</f>
        <v>0.51100053661154199</v>
      </c>
      <c r="BG13" s="206">
        <f>IF(ISNUMBER((AY13+AZ13)/BA13),(AY13+AZ13)/BA13," - ")</f>
        <v>1.8548221864481194</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4381</v>
      </c>
      <c r="J15" s="182">
        <v>27795</v>
      </c>
      <c r="K15" s="182">
        <v>26013</v>
      </c>
      <c r="L15" s="182">
        <v>6286</v>
      </c>
      <c r="M15" s="182">
        <v>1710</v>
      </c>
      <c r="N15" s="182">
        <v>19574</v>
      </c>
      <c r="O15" s="180">
        <v>210</v>
      </c>
      <c r="P15" s="182">
        <v>696</v>
      </c>
      <c r="Q15" s="182">
        <v>687</v>
      </c>
      <c r="R15" s="182">
        <v>561</v>
      </c>
      <c r="S15" s="182">
        <v>3804</v>
      </c>
      <c r="T15" s="182">
        <v>27349</v>
      </c>
      <c r="U15" s="182">
        <v>26994</v>
      </c>
      <c r="V15" s="182">
        <v>4381</v>
      </c>
      <c r="W15" s="182">
        <v>1751</v>
      </c>
      <c r="X15" s="188">
        <v>20775</v>
      </c>
      <c r="Y15" s="201">
        <v>0</v>
      </c>
      <c r="Z15" s="182">
        <v>0</v>
      </c>
      <c r="AA15" s="182">
        <v>0</v>
      </c>
      <c r="AB15" s="182">
        <v>0</v>
      </c>
      <c r="AC15" s="182">
        <v>84</v>
      </c>
      <c r="AD15" s="182">
        <v>532</v>
      </c>
      <c r="AE15" s="182">
        <v>580</v>
      </c>
      <c r="AF15" s="188">
        <v>36</v>
      </c>
      <c r="AG15" s="201">
        <v>0</v>
      </c>
      <c r="AH15" s="182">
        <v>0</v>
      </c>
      <c r="AI15" s="182">
        <v>0</v>
      </c>
      <c r="AJ15" s="202">
        <v>0</v>
      </c>
      <c r="AK15" s="181">
        <v>1</v>
      </c>
      <c r="AL15" s="182">
        <v>430</v>
      </c>
      <c r="AM15" s="182">
        <v>347</v>
      </c>
      <c r="AN15" s="188">
        <v>84</v>
      </c>
      <c r="AO15" s="258">
        <v>5</v>
      </c>
      <c r="AP15" s="154">
        <v>5</v>
      </c>
      <c r="AQ15" s="154">
        <v>5</v>
      </c>
      <c r="AR15" s="154">
        <v>5</v>
      </c>
      <c r="AS15" s="339" t="s">
        <v>522</v>
      </c>
      <c r="AT15" s="202" t="s">
        <v>326</v>
      </c>
      <c r="AU15" s="201"/>
      <c r="AV15" s="202"/>
      <c r="AW15" s="201"/>
      <c r="AX15" s="202"/>
      <c r="AY15" s="128">
        <f t="shared" ref="AY15:BB16" si="9">IF(ISNUMBER(IF(D_I="SI",S15,S15+AK15)),IF(D_I="SI",S15,S15+AK15)," - ")</f>
        <v>3804</v>
      </c>
      <c r="AZ15" s="129">
        <f t="shared" si="9"/>
        <v>27349</v>
      </c>
      <c r="BA15" s="129">
        <f t="shared" si="9"/>
        <v>26994</v>
      </c>
      <c r="BB15" s="129">
        <f t="shared" si="9"/>
        <v>4381</v>
      </c>
      <c r="BC15" s="125">
        <f>IF(ISNUMBER(W15),W15," - ")</f>
        <v>1751</v>
      </c>
      <c r="BD15" s="126">
        <f>IF(ISNUMBER(BA15/AZ15),BA15/AZ15," - ")</f>
        <v>0.98701963508720614</v>
      </c>
      <c r="BE15" s="127">
        <f>IF(ISNUMBER(BB15/BA15),BB15/BA15, " - ")</f>
        <v>0.16229532488701193</v>
      </c>
      <c r="BF15" s="127">
        <f>IF(ISNUMBER(BC15/BA15),BC15/BA15, " - ")</f>
        <v>6.4866266577758014E-2</v>
      </c>
      <c r="BG15" s="195">
        <f t="shared" ref="BG15:BG16" si="10">IF(ISNUMBER((AY15+AZ15)/BA15),(AY15+AZ15)/BA15," - ")</f>
        <v>1.1540712750981699</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658</v>
      </c>
      <c r="J17" s="182">
        <v>2130</v>
      </c>
      <c r="K17" s="182">
        <v>2148</v>
      </c>
      <c r="L17" s="182">
        <v>636</v>
      </c>
      <c r="M17" s="182">
        <v>151</v>
      </c>
      <c r="N17" s="182">
        <v>1063</v>
      </c>
      <c r="O17" s="182">
        <v>0</v>
      </c>
      <c r="P17" s="182">
        <v>0</v>
      </c>
      <c r="Q17" s="182">
        <v>0</v>
      </c>
      <c r="R17" s="182">
        <v>0</v>
      </c>
      <c r="S17" s="182">
        <v>828</v>
      </c>
      <c r="T17" s="182">
        <v>2010</v>
      </c>
      <c r="U17" s="182">
        <v>2033</v>
      </c>
      <c r="V17" s="182">
        <v>658</v>
      </c>
      <c r="W17" s="182">
        <v>109</v>
      </c>
      <c r="X17" s="188">
        <v>745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828</v>
      </c>
      <c r="AZ17" s="129">
        <f t="shared" si="14"/>
        <v>2010</v>
      </c>
      <c r="BA17" s="129">
        <f t="shared" si="14"/>
        <v>2033</v>
      </c>
      <c r="BB17" s="129">
        <f t="shared" si="14"/>
        <v>658</v>
      </c>
      <c r="BC17" s="125">
        <f>IF(ISNUMBER(W17),W17," - ")</f>
        <v>109</v>
      </c>
      <c r="BD17" s="126">
        <f>IF(ISNUMBER(BA17/AZ17),BA17/AZ17," - ")</f>
        <v>1.0114427860696518</v>
      </c>
      <c r="BE17" s="127">
        <f>IF(ISNUMBER(BB17/BA17),BB17/BA17, " - ")</f>
        <v>0.32365961633054602</v>
      </c>
      <c r="BF17" s="127">
        <f>IF(ISNUMBER(BC17/BA17),BC17/BA17, " - ")</f>
        <v>5.3615346778160357E-2</v>
      </c>
      <c r="BG17" s="195">
        <f>IF(ISNUMBER((AY17+AZ17)/BA17),(AY17+AZ17)/BA17," - ")</f>
        <v>1.3959665518937532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5039</v>
      </c>
      <c r="J18" s="183">
        <f t="shared" si="15"/>
        <v>29925</v>
      </c>
      <c r="K18" s="183">
        <f t="shared" si="15"/>
        <v>28161</v>
      </c>
      <c r="L18" s="183">
        <f t="shared" si="15"/>
        <v>6922</v>
      </c>
      <c r="M18" s="183">
        <f t="shared" si="15"/>
        <v>1861</v>
      </c>
      <c r="N18" s="183">
        <f t="shared" si="15"/>
        <v>20637</v>
      </c>
      <c r="O18" s="183">
        <f t="shared" si="15"/>
        <v>210</v>
      </c>
      <c r="P18" s="183">
        <f t="shared" si="15"/>
        <v>696</v>
      </c>
      <c r="Q18" s="183">
        <f t="shared" si="15"/>
        <v>687</v>
      </c>
      <c r="R18" s="183">
        <f t="shared" si="15"/>
        <v>561</v>
      </c>
      <c r="S18" s="183">
        <f t="shared" si="15"/>
        <v>4632</v>
      </c>
      <c r="T18" s="183">
        <f t="shared" si="15"/>
        <v>29359</v>
      </c>
      <c r="U18" s="183">
        <f t="shared" si="15"/>
        <v>29027</v>
      </c>
      <c r="V18" s="183">
        <f t="shared" si="15"/>
        <v>5039</v>
      </c>
      <c r="W18" s="183">
        <f t="shared" si="15"/>
        <v>1860</v>
      </c>
      <c r="X18" s="183">
        <f t="shared" si="15"/>
        <v>21520</v>
      </c>
      <c r="Y18" s="183">
        <f t="shared" si="15"/>
        <v>0</v>
      </c>
      <c r="Z18" s="183">
        <f t="shared" si="15"/>
        <v>0</v>
      </c>
      <c r="AA18" s="183">
        <f t="shared" si="15"/>
        <v>0</v>
      </c>
      <c r="AB18" s="183">
        <f t="shared" si="15"/>
        <v>0</v>
      </c>
      <c r="AC18" s="183">
        <f t="shared" si="15"/>
        <v>84</v>
      </c>
      <c r="AD18" s="183">
        <f t="shared" si="15"/>
        <v>532</v>
      </c>
      <c r="AE18" s="183">
        <f t="shared" si="15"/>
        <v>580</v>
      </c>
      <c r="AF18" s="183">
        <f t="shared" si="15"/>
        <v>36</v>
      </c>
      <c r="AG18" s="183">
        <f t="shared" si="15"/>
        <v>0</v>
      </c>
      <c r="AH18" s="183">
        <f t="shared" si="15"/>
        <v>0</v>
      </c>
      <c r="AI18" s="183">
        <f t="shared" si="15"/>
        <v>0</v>
      </c>
      <c r="AJ18" s="183">
        <f t="shared" si="15"/>
        <v>0</v>
      </c>
      <c r="AK18" s="183">
        <f t="shared" si="15"/>
        <v>1</v>
      </c>
      <c r="AL18" s="183">
        <f t="shared" si="15"/>
        <v>430</v>
      </c>
      <c r="AM18" s="183">
        <f t="shared" si="15"/>
        <v>347</v>
      </c>
      <c r="AN18" s="183">
        <f t="shared" si="15"/>
        <v>84</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4632</v>
      </c>
      <c r="AZ18" s="183">
        <f>SUBTOTAL(9,AZ14:AZ17)</f>
        <v>29359</v>
      </c>
      <c r="BA18" s="183">
        <f>SUBTOTAL(9,BA14:BA17)</f>
        <v>29027</v>
      </c>
      <c r="BB18" s="183">
        <f>SUBTOTAL(9,BB14:BB17)</f>
        <v>5039</v>
      </c>
      <c r="BC18" s="183">
        <f>SUBTOTAL(9,BC14:BC17)</f>
        <v>1860</v>
      </c>
      <c r="BD18" s="204">
        <f>IF(ISNUMBER(BA18/AZ18),BA18/AZ18," - ")</f>
        <v>0.98869171293300184</v>
      </c>
      <c r="BE18" s="205">
        <f>IF(ISNUMBER(BB18/BA18),BB18/BA18, " - ")</f>
        <v>0.17359699590036862</v>
      </c>
      <c r="BF18" s="205">
        <f>IF(ISNUMBER(BC18/BA18),BC18/BA18, " - ")</f>
        <v>6.4078271953698279E-2</v>
      </c>
      <c r="BG18" s="206">
        <f>IF(ISNUMBER((AY18+AZ18)/BA18),(AY18+AZ18)/BA18," - ")</f>
        <v>1.1710131946119131</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21935</v>
      </c>
      <c r="J19" s="134">
        <f t="shared" si="18"/>
        <v>48130</v>
      </c>
      <c r="K19" s="134">
        <f t="shared" si="18"/>
        <v>47767</v>
      </c>
      <c r="L19" s="134">
        <f t="shared" si="18"/>
        <v>21967</v>
      </c>
      <c r="M19" s="134">
        <f t="shared" si="18"/>
        <v>5879</v>
      </c>
      <c r="N19" s="134">
        <f t="shared" si="18"/>
        <v>32378</v>
      </c>
      <c r="O19" s="134">
        <f t="shared" si="18"/>
        <v>6773</v>
      </c>
      <c r="P19" s="134">
        <f t="shared" si="18"/>
        <v>6372</v>
      </c>
      <c r="Q19" s="134">
        <f t="shared" si="18"/>
        <v>7993</v>
      </c>
      <c r="R19" s="134">
        <f t="shared" si="18"/>
        <v>16093</v>
      </c>
      <c r="S19" s="134">
        <f t="shared" si="18"/>
        <v>22403</v>
      </c>
      <c r="T19" s="134">
        <f t="shared" si="18"/>
        <v>47727</v>
      </c>
      <c r="U19" s="134">
        <f t="shared" si="18"/>
        <v>48129</v>
      </c>
      <c r="V19" s="134">
        <f t="shared" si="18"/>
        <v>21935</v>
      </c>
      <c r="W19" s="134">
        <f t="shared" si="18"/>
        <v>5816</v>
      </c>
      <c r="X19" s="134">
        <f t="shared" si="18"/>
        <v>31996</v>
      </c>
      <c r="Y19" s="134">
        <f t="shared" si="18"/>
        <v>491</v>
      </c>
      <c r="Z19" s="134">
        <f t="shared" si="18"/>
        <v>1177</v>
      </c>
      <c r="AA19" s="134">
        <f t="shared" si="18"/>
        <v>1054</v>
      </c>
      <c r="AB19" s="134">
        <f t="shared" si="18"/>
        <v>525</v>
      </c>
      <c r="AC19" s="134">
        <f t="shared" si="18"/>
        <v>84</v>
      </c>
      <c r="AD19" s="134">
        <f t="shared" si="18"/>
        <v>532</v>
      </c>
      <c r="AE19" s="134">
        <f t="shared" si="18"/>
        <v>580</v>
      </c>
      <c r="AF19" s="134">
        <f t="shared" si="18"/>
        <v>36</v>
      </c>
      <c r="AG19" s="134">
        <f t="shared" si="18"/>
        <v>555</v>
      </c>
      <c r="AH19" s="134">
        <f t="shared" si="18"/>
        <v>1328</v>
      </c>
      <c r="AI19" s="134">
        <f t="shared" si="18"/>
        <v>1397</v>
      </c>
      <c r="AJ19" s="134">
        <f t="shared" si="18"/>
        <v>491</v>
      </c>
      <c r="AK19" s="134">
        <f t="shared" si="18"/>
        <v>1</v>
      </c>
      <c r="AL19" s="134">
        <f t="shared" si="18"/>
        <v>430</v>
      </c>
      <c r="AM19" s="134">
        <f t="shared" si="18"/>
        <v>347</v>
      </c>
      <c r="AN19" s="209">
        <f t="shared" si="18"/>
        <v>84</v>
      </c>
      <c r="AO19" s="210">
        <v>16</v>
      </c>
      <c r="AP19" s="210">
        <v>16</v>
      </c>
      <c r="AQ19" s="210">
        <v>16</v>
      </c>
      <c r="AR19" s="210">
        <v>16</v>
      </c>
      <c r="AS19" s="152">
        <f t="shared" si="18"/>
        <v>0</v>
      </c>
      <c r="AT19" s="152">
        <f t="shared" si="18"/>
        <v>0</v>
      </c>
      <c r="AU19" s="210"/>
      <c r="AV19" s="211"/>
      <c r="AW19" s="210"/>
      <c r="AX19" s="211"/>
      <c r="AY19" s="133">
        <f>SUBTOTAL(9,AY9:AY18)</f>
        <v>22958</v>
      </c>
      <c r="AZ19" s="134">
        <f>SUBTOTAL(9,AZ9:AZ18)</f>
        <v>49055</v>
      </c>
      <c r="BA19" s="134">
        <f>SUBTOTAL(9,BA9:BA18)</f>
        <v>49526</v>
      </c>
      <c r="BB19" s="134">
        <f>SUBTOTAL(9,BB9:BB18)</f>
        <v>22426</v>
      </c>
      <c r="BC19" s="135">
        <f>SUBTOTAL(9,BC9:BC18)</f>
        <v>12335</v>
      </c>
      <c r="BD19" s="212">
        <f>IF(ISNUMBER(BA19/AZ19),BA19/AZ19," - ")</f>
        <v>1.0096014677402916</v>
      </c>
      <c r="BE19" s="209">
        <f>IF(ISNUMBER(BB19/BA19),BB19/BA19, " - ")</f>
        <v>0.45281266405524373</v>
      </c>
      <c r="BF19" s="209">
        <f>IF(ISNUMBER(BC19/BA19),BC19/BA19, " - ")</f>
        <v>0.2490610992206114</v>
      </c>
      <c r="BG19" s="135">
        <f>IF(ISNUMBER((AY19+AZ19)/BA19),(AY19+AZ19)/BA19," - ")</f>
        <v>1.4540443403464847</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xAFEoOYnady2Wpdkuz3KbotWe7SUH0KwppsVT85Ad1b5KLZKXj05jk1hQAR0TRvVJ3GoRTdVd+ms4LdoW2czA==" saltValue="NpaxuuBv/fc6sKMmSHvrH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SkoWLz7SCJMvQU3LdnPV6thV8HZ0bLpfZuB+6bCFqxr24KKuqF3LkhiPCDI59vMNUHB4QQO+jc+0KwaHAG3yg==" saltValue="Obr8sSWknHcjeJ260IBi8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HOSPITALET DE LLOBREGAT, 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9</v>
      </c>
      <c r="B9" s="500" t="s">
        <v>246</v>
      </c>
      <c r="C9" s="159" t="str">
        <f>Datos!A9</f>
        <v xml:space="preserve">Jdos. 1ª Instancia   </v>
      </c>
      <c r="D9" s="501"/>
      <c r="E9" s="259">
        <f>IF(ISNUMBER(Datos!AQ9),Datos!AQ9," - ")</f>
        <v>9</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1177</v>
      </c>
      <c r="O9" s="333"/>
      <c r="P9" s="333"/>
      <c r="Q9" s="225">
        <f>IF(ISNUMBER(Datos!P9),Datos!P9,0)</f>
        <v>5644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7286</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525</v>
      </c>
      <c r="AI9" s="333" t="str">
        <f>IF(ISNUMBER(Datos!CD9),Datos!CD9,"-")</f>
        <v>-</v>
      </c>
      <c r="AJ9" s="333" t="str">
        <f>IF(ISNUMBER(Datos!EN9),Datos!EN9," - ")</f>
        <v xml:space="preserve"> - </v>
      </c>
      <c r="AK9" s="333"/>
      <c r="AL9" s="478"/>
      <c r="AM9" s="334">
        <f>IF(ISNUMBER(Datos!R9),Datos!R9," - ")</f>
        <v>15381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3930</v>
      </c>
      <c r="BD9" s="228">
        <f>IF(ISNUMBER(Datos!N9),Datos!N9," - ")</f>
        <v>11637</v>
      </c>
      <c r="BE9" s="228" t="str">
        <f>IF(ISNUMBER(Datos!BW9),Datos!BW9," - ")</f>
        <v xml:space="preserve"> - </v>
      </c>
      <c r="BF9" s="227" t="str">
        <f>IF(ISNUMBER(Datos!BX9),Datos!BX9," - ")</f>
        <v xml:space="preserve"> - </v>
      </c>
      <c r="BG9" s="242">
        <f>IF(ISNUMBER(IF(J_V="SI",Datos!K9/Datos!J9,(Datos!K9+Datos!AA9)/(Datos!J9+Datos!Z9))),IF(J_V="SI",Datos!K9/Datos!J9,(Datos!K9+Datos!AA9)/(Datos!J9+Datos!Z9))," - ")</f>
        <v>1.0655336009592826</v>
      </c>
      <c r="BH9" s="259">
        <f>IF(ISNUMBER(((IF(J_V="SI",Datos!L9/Datos!K9,(Datos!L9+Datos!AB9)/(Datos!K9+Datos!AA9)))*11)/factor_trimestre),((IF(J_V="SI",Datos!L9/Datos!K9,(Datos!L9+Datos!AB9)/(Datos!K9+Datos!AA9)))*11)/factor_trimestre," - ")</f>
        <v>8.2874058127018309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-9.6457733654467484E-2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193</v>
      </c>
      <c r="G10" s="332">
        <f>IF(ISNUMBER(Datos!I10),Datos!I10," - ")</f>
        <v>192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222</v>
      </c>
      <c r="AC10" s="225">
        <f>IF(ISNUMBER(Datos!Q10),Datos!Q10," - ")</f>
        <v>20</v>
      </c>
      <c r="AD10" s="333"/>
      <c r="AE10" s="483"/>
      <c r="AF10" s="331">
        <f>IF(ISNUMBER(Datos!L10),Datos!L10,"-")</f>
        <v>172</v>
      </c>
      <c r="AG10" s="333"/>
      <c r="AH10" s="333"/>
      <c r="AI10" s="333"/>
      <c r="AJ10" s="333"/>
      <c r="AK10" s="333"/>
      <c r="AL10" s="478"/>
      <c r="AM10" s="334">
        <f>IF(ISNUMBER(Datos!R10),Datos!R10," - ")</f>
        <v>151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88</v>
      </c>
      <c r="BD10" s="228">
        <f>IF(ISNUMBER(Datos!N10),Datos!N10," - ")</f>
        <v>104</v>
      </c>
      <c r="BE10" s="228" t="str">
        <f>IF(ISNUMBER(Datos!BW10),Datos!BW10," - ")</f>
        <v xml:space="preserve"> - </v>
      </c>
      <c r="BF10" s="227" t="str">
        <f>IF(ISNUMBER(Datos!BX10),Datos!BX10," - ")</f>
        <v xml:space="preserve"> - </v>
      </c>
      <c r="BG10" s="242">
        <f>IF(ISNUMBER(Datos!K10/Datos!J10),Datos!K10/Datos!J10," - ")</f>
        <v>1.1044776119402986</v>
      </c>
      <c r="BH10" s="259">
        <f>IF(ISNUMBER(((Datos!L10/Datos!K10)*11)/factor_trimestre),((Datos!L10/Datos!K10)*11)/factor_trimestre," - ")</f>
        <v>8.5225225225225216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8.6330935251798566E-2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11</v>
      </c>
      <c r="F13" s="897">
        <f t="shared" si="0"/>
        <v>193</v>
      </c>
      <c r="G13" s="897">
        <f t="shared" si="0"/>
        <v>192</v>
      </c>
      <c r="H13" s="898">
        <f t="shared" si="0"/>
        <v>0</v>
      </c>
      <c r="I13" s="897">
        <f t="shared" si="0"/>
        <v>0</v>
      </c>
      <c r="J13" s="866">
        <f t="shared" si="0"/>
        <v>0</v>
      </c>
      <c r="K13" s="866">
        <f t="shared" si="0"/>
        <v>0</v>
      </c>
      <c r="L13" s="898">
        <f t="shared" si="0"/>
        <v>0</v>
      </c>
      <c r="M13" s="898">
        <f t="shared" si="0"/>
        <v>0</v>
      </c>
      <c r="N13" s="898">
        <f t="shared" si="0"/>
        <v>1177</v>
      </c>
      <c r="O13" s="899">
        <f t="shared" si="0"/>
        <v>0</v>
      </c>
      <c r="P13" s="899">
        <f t="shared" si="0"/>
        <v>0</v>
      </c>
      <c r="Q13" s="898">
        <f t="shared" si="0"/>
        <v>5676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222</v>
      </c>
      <c r="AC13" s="898">
        <f t="shared" si="1"/>
        <v>7306</v>
      </c>
      <c r="AD13" s="898">
        <f t="shared" si="1"/>
        <v>0</v>
      </c>
      <c r="AE13" s="898">
        <f t="shared" si="1"/>
        <v>0</v>
      </c>
      <c r="AF13" s="898">
        <f t="shared" si="1"/>
        <v>172</v>
      </c>
      <c r="AG13" s="898">
        <f t="shared" si="1"/>
        <v>0</v>
      </c>
      <c r="AH13" s="898">
        <f t="shared" si="1"/>
        <v>525</v>
      </c>
      <c r="AI13" s="898">
        <f t="shared" si="1"/>
        <v>0</v>
      </c>
      <c r="AJ13" s="898">
        <f t="shared" si="1"/>
        <v>0</v>
      </c>
      <c r="AK13" s="898">
        <f t="shared" si="1"/>
        <v>0</v>
      </c>
      <c r="AL13" s="898">
        <f t="shared" si="1"/>
        <v>0</v>
      </c>
      <c r="AM13" s="898">
        <f t="shared" si="1"/>
        <v>15532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4018</v>
      </c>
      <c r="BD13" s="898">
        <f t="shared" si="1"/>
        <v>11741</v>
      </c>
      <c r="BE13" s="898">
        <f t="shared" si="1"/>
        <v>0</v>
      </c>
      <c r="BF13" s="898">
        <f t="shared" si="1"/>
        <v>0</v>
      </c>
      <c r="BG13" s="898">
        <f>IF(ISNUMBER(Datos!K13/Datos!J13),Datos!K13/Datos!J13," - ")</f>
        <v>1.076956879978028</v>
      </c>
      <c r="BH13" s="902">
        <f>IF(ISNUMBER(((Datos!L13/Datos!K13)*11)/factor_trimestre),((Datos!L13/Datos!K13)*11)/factor_trimestre," - ")</f>
        <v>8.441038457615015</v>
      </c>
      <c r="BI13" s="898">
        <f>IF(ISNUMBER('Resol  Asuntos'!D13/NºAsuntos!G13),'Resol  Asuntos'!D13/NºAsuntos!G13," - ")</f>
        <v>0.19448209099709585</v>
      </c>
      <c r="BJ13" s="898" t="str">
        <f>IF(ISNUMBER(Datos!CI13/Datos!CJ13),Datos!CI13/Datos!CJ13," - ")</f>
        <v xml:space="preserve"> - </v>
      </c>
      <c r="BK13" s="898">
        <f>SUBTOTAL(9,BK8:BK12)</f>
        <v>0</v>
      </c>
      <c r="BL13" s="898">
        <f>IF(ISNUMBER((I13-AB13+L13)/(F13)),(I13-AB13+L13)/(F13)," - ")</f>
        <v>-1.150259067357513</v>
      </c>
      <c r="BM13" s="903">
        <f>SUBTOTAL(9,BM9:BM12)</f>
        <v>-1.0126798402668918E-2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4504</v>
      </c>
      <c r="G15" s="597">
        <f>IF(ISNUMBER(IF(D_I="SI",Datos!I15,Datos!I15+Datos!AC15)),IF(D_I="SI",Datos!I15,Datos!I15+Datos!AC15)," - ")</f>
        <v>4381</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696</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26013</v>
      </c>
      <c r="AC15" s="225">
        <f>IF(ISNUMBER(Datos!Q15),Datos!Q15," - ")</f>
        <v>687</v>
      </c>
      <c r="AD15" s="333"/>
      <c r="AE15" s="483"/>
      <c r="AF15" s="595">
        <f>IF(ISNUMBER(IF(D_I="SI",Datos!L15,Datos!L15+Datos!AF15)),IF(D_I="SI",Datos!L15,Datos!L15+Datos!AF15)," - ")</f>
        <v>6286</v>
      </c>
      <c r="AG15" s="333"/>
      <c r="AH15" s="333"/>
      <c r="AI15" s="333"/>
      <c r="AJ15" s="333"/>
      <c r="AK15" s="333"/>
      <c r="AL15" s="478"/>
      <c r="AM15" s="334">
        <f>IF(ISNUMBER(Datos!R15),Datos!R15," - ")</f>
        <v>561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1710</v>
      </c>
      <c r="BD15" s="228">
        <f>IF(ISNUMBER(Datos!N15),Datos!N15," - ")</f>
        <v>19574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0.9358877495952509</v>
      </c>
      <c r="BH15" s="259">
        <f>IF(ISNUMBER(((IF(D_I="SI",Datos!L15/Datos!K15,(Datos!L15+Datos!AF15)/(Datos!K15+Datos!AE15)))*11)/factor_trimestre),((IF(D_I="SI",Datos!L15/Datos!K15,(Datos!L15+Datos!AF15)/(Datos!K15+Datos!AE15)))*11)/factor_trimestre," - ")</f>
        <v>2.6581324722254256</v>
      </c>
      <c r="BI15" s="242">
        <f>IF(ISNUMBER('Resol  Asuntos'!D15/NºAsuntos!G15),'Resol  Asuntos'!D15/NºAsuntos!G15," - ")</f>
        <v>6.5736362587936803E-2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658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2148</v>
      </c>
      <c r="AC17" s="225">
        <f>IF(ISNUMBER(Datos!Q17),Datos!Q17," - ")</f>
        <v>0</v>
      </c>
      <c r="AD17" s="333"/>
      <c r="AE17" s="483"/>
      <c r="AF17" s="331">
        <f>IF(ISNUMBER(Datos!L17),Datos!L17,"-")</f>
        <v>636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151</v>
      </c>
      <c r="BD17" s="228">
        <f>IF(ISNUMBER(Datos!N17),Datos!N17," - ")</f>
        <v>1063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1.0084507042253521</v>
      </c>
      <c r="BH17" s="259">
        <f>IF(ISNUMBER(((IF(D_I="SI",Datos!L17/Datos!K17,(Datos!L17+Datos!AF17)/(Datos!K17+Datos!AE17)))*11)/factor_trimestre),((IF(D_I="SI",Datos!L17/Datos!K17,(Datos!L17+Datos!AF17)/(Datos!K17+Datos!AE17)))*11)/factor_trimestre," - ")</f>
        <v>3.2569832402234637</v>
      </c>
      <c r="BI17" s="242">
        <f>IF(ISNUMBER('Resol  Asuntos'!D17/NºAsuntos!G17),'Resol  Asuntos'!D17/NºAsuntos!G17," - ")</f>
        <v>7.0297951582867779E-2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7</v>
      </c>
      <c r="F18" s="897">
        <f>SUBTOTAL(9,F15:F17)</f>
        <v>4504</v>
      </c>
      <c r="G18" s="897">
        <f>SUBTOTAL(9,G15:G17)</f>
        <v>5039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696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28161</v>
      </c>
      <c r="AC18" s="898">
        <f t="shared" si="4"/>
        <v>687</v>
      </c>
      <c r="AD18" s="898">
        <f t="shared" si="4"/>
        <v>0</v>
      </c>
      <c r="AE18" s="898">
        <f t="shared" si="4"/>
        <v>0</v>
      </c>
      <c r="AF18" s="898">
        <f t="shared" si="4"/>
        <v>6922</v>
      </c>
      <c r="AG18" s="898">
        <f t="shared" si="4"/>
        <v>0</v>
      </c>
      <c r="AH18" s="898">
        <f t="shared" si="4"/>
        <v>0</v>
      </c>
      <c r="AI18" s="898">
        <f t="shared" si="4"/>
        <v>0</v>
      </c>
      <c r="AJ18" s="898">
        <f t="shared" si="4"/>
        <v>0</v>
      </c>
      <c r="AK18" s="898">
        <f t="shared" si="4"/>
        <v>0</v>
      </c>
      <c r="AL18" s="898">
        <f t="shared" si="4"/>
        <v>0</v>
      </c>
      <c r="AM18" s="898">
        <f t="shared" si="4"/>
        <v>561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1861</v>
      </c>
      <c r="BD18" s="898">
        <f t="shared" si="4"/>
        <v>20637</v>
      </c>
      <c r="BE18" s="898">
        <f t="shared" si="4"/>
        <v>0</v>
      </c>
      <c r="BF18" s="898">
        <f t="shared" si="4"/>
        <v>0</v>
      </c>
      <c r="BG18" s="898">
        <f>IF(ISNUMBER(Datos!K18/Datos!J18),Datos!K18/Datos!J18," - ")</f>
        <v>0.94105263157894736</v>
      </c>
      <c r="BH18" s="902">
        <f>IF(ISNUMBER(((Datos!L18/Datos!K18)*11)/factor_trimestre),((Datos!L18/Datos!K18)*11)/factor_trimestre," - ")</f>
        <v>2.7038102340115762</v>
      </c>
      <c r="BI18" s="898">
        <f>SUBTOTAL(9,BI15:BI17)</f>
        <v>0.13603431417080458</v>
      </c>
      <c r="BJ18" s="898">
        <f>SUBTOTAL(9,BJ15:BJ17)</f>
        <v>0</v>
      </c>
      <c r="BK18" s="898">
        <f>SUBTOTAL(9,BK15:BK17)</f>
        <v>0</v>
      </c>
      <c r="BL18" s="898">
        <f>IF(ISNUMBER((I18-AB18+L18)/(F18)),(I18-AB18+L18)/(F18)," - ")</f>
        <v>-6.2524422735346361</v>
      </c>
      <c r="BM18" s="904">
        <f>IF(ISNUMBER((Datos!P18-Datos!Q18)/(Datos!R18-Datos!P18+Datos!Q18)),(Datos!P18-Datos!Q18)/(Datos!R18-Datos!P18+Datos!Q18)," - ")</f>
        <v>1.6304347826086956E-2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18</v>
      </c>
      <c r="F19" s="819">
        <f t="shared" si="6"/>
        <v>4697</v>
      </c>
      <c r="G19" s="819">
        <f t="shared" si="6"/>
        <v>5231</v>
      </c>
      <c r="H19" s="821">
        <f t="shared" si="6"/>
        <v>0</v>
      </c>
      <c r="I19" s="819">
        <f t="shared" si="6"/>
        <v>0</v>
      </c>
      <c r="J19" s="821">
        <f t="shared" si="6"/>
        <v>0</v>
      </c>
      <c r="K19" s="821">
        <f t="shared" si="6"/>
        <v>0</v>
      </c>
      <c r="L19" s="880">
        <f t="shared" si="6"/>
        <v>0</v>
      </c>
      <c r="M19" s="880">
        <f t="shared" si="6"/>
        <v>0</v>
      </c>
      <c r="N19" s="880">
        <f t="shared" si="6"/>
        <v>1177</v>
      </c>
      <c r="O19" s="880">
        <f t="shared" si="6"/>
        <v>0</v>
      </c>
      <c r="P19" s="880">
        <f t="shared" si="6"/>
        <v>0</v>
      </c>
      <c r="Q19" s="821">
        <f t="shared" si="6"/>
        <v>6372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28383</v>
      </c>
      <c r="AC19" s="820">
        <f t="shared" si="7"/>
        <v>7993</v>
      </c>
      <c r="AD19" s="820">
        <f t="shared" si="7"/>
        <v>0</v>
      </c>
      <c r="AE19" s="820">
        <f t="shared" si="7"/>
        <v>0</v>
      </c>
      <c r="AF19" s="827">
        <f t="shared" si="7"/>
        <v>7094</v>
      </c>
      <c r="AG19" s="827">
        <f t="shared" si="7"/>
        <v>0</v>
      </c>
      <c r="AH19" s="827">
        <f t="shared" si="7"/>
        <v>525</v>
      </c>
      <c r="AI19" s="827">
        <f t="shared" si="7"/>
        <v>0</v>
      </c>
      <c r="AJ19" s="820">
        <f t="shared" si="7"/>
        <v>0</v>
      </c>
      <c r="AK19" s="827">
        <f t="shared" si="7"/>
        <v>0</v>
      </c>
      <c r="AL19" s="827">
        <f t="shared" si="7"/>
        <v>0</v>
      </c>
      <c r="AM19" s="827">
        <f t="shared" si="7"/>
        <v>16093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5879</v>
      </c>
      <c r="BD19" s="819">
        <f t="shared" si="7"/>
        <v>32378</v>
      </c>
      <c r="BE19" s="819">
        <f t="shared" si="7"/>
        <v>0</v>
      </c>
      <c r="BF19" s="829">
        <f t="shared" si="7"/>
        <v>0</v>
      </c>
      <c r="BG19" s="914">
        <f>IF(ISNUMBER(Datos!K19/Datos!J19),Datos!K19/Datos!J19," - ")</f>
        <v>0.99245792644920006</v>
      </c>
      <c r="BH19" s="914">
        <f>IF(ISNUMBER(((Datos!L19/Datos!K19)*11)/factor_trimestre),((Datos!L19/Datos!K19)*11)/factor_trimestre," - ")</f>
        <v>5.0586597441748484</v>
      </c>
      <c r="BI19" s="812">
        <f>IF(ISNUMBER(Datos!J19/Datos!I19),Datos!J19/Datos!I19," - ")</f>
        <v>2.1942101664007296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-6.042793272301469</v>
      </c>
      <c r="BM19" s="888">
        <f>IF(ISNUMBER((Datos!P19-Datos!Q19+R19)/(Datos!R19-Datos!P19+Datos!Q19-R19)),(Datos!P19-Datos!Q19+R19)/(Datos!R19-Datos!P19+Datos!Q19-R19)," - ")</f>
        <v>-9.1509540476459303E-2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2092.4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4.1833001326703778</v>
      </c>
      <c r="F21" s="550">
        <f>IF(ISNUMBER(STDEV(F8:F18)),STDEV(F8:F18),"-")</f>
        <v>2488.9570104764766</v>
      </c>
      <c r="G21" s="551">
        <f>IF(ISNUMBER(STDEV(G8:G18)),STDEV(G8:G18),"-")</f>
        <v>2408.3544797226177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14404.468150542732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1730.0537178557972</v>
      </c>
      <c r="BD21" s="550"/>
      <c r="BE21" s="550">
        <f>IF(ISNUMBER(STDEV(BE8:BE18)),STDEV(BE8:BE18),"-")</f>
        <v>0</v>
      </c>
      <c r="BF21" s="555">
        <f>IF(ISNUMBER(STDEV(BF8:BF18)),STDEV(BF8:BF18),"-")</f>
        <v>0</v>
      </c>
      <c r="BG21" s="774">
        <f>IF(ISNUMBER(STDEV(BG8:BG18)),STDEV(BG8:BG18),"-")</f>
        <v>7.1929615012625847E-2</v>
      </c>
      <c r="BH21" s="775">
        <f>IF(ISNUMBER(STDEV(BH8:BH18)),STDEV(BH8:BH18),"-")</f>
        <v>3.0448275588010705</v>
      </c>
      <c r="BI21" s="248">
        <f>IF(ISNUMBER(STDEV(BI8:BI18)),STDEV(BI8:BI18),"-")</f>
        <v>6.1030856361619756E-2</v>
      </c>
      <c r="BJ21" s="229" t="str">
        <f>IF(ISNUMBER(BL21/BM21),BL21/BM21," - ")</f>
        <v xml:space="preserve"> - </v>
      </c>
      <c r="BK21" s="574"/>
      <c r="BL21" s="558">
        <f>IF(ISNUMBER(STDEV(BL8:BL18)),STDEV(BL8:BL18),"-")</f>
        <v>3.6077883439439655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ZLfnrP0S4sCnoSASwe3vzo1eZSt/yFCIW6SEDIusSpO2b9ILOnGPJ1EWfex10EJCd4hZ4CRl8O5gL2fuoH7S9Q==" saltValue="ztxlv+v8WQA4YHTCxtOI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HOSPITALET DE LLOBREGAT, 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9</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5644</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7286</v>
      </c>
      <c r="AA9" s="331" t="str">
        <f>IF(ISNUMBER(IF(J_V="SI",Datos!L9,Datos!L9+Datos!AB9)-IF(Monitorios="SI",Datos!CD9,0)),
                          IF(J_V="SI",Datos!L9,Datos!L9+Datos!AB9)-IF(Monitorios="SI",Datos!CD9,0),
                          " - ")</f>
        <v xml:space="preserve"> - </v>
      </c>
      <c r="AB9" s="333"/>
      <c r="AC9" s="333"/>
      <c r="AD9" s="483"/>
      <c r="AE9" s="483">
        <f>IF(ISNUMBER(Datos!R9),Datos!R9," - ")</f>
        <v>15381</v>
      </c>
      <c r="AF9" s="228" t="str">
        <f>IF(ISNUMBER(Datos!BV9),Datos!BV9," - ")</f>
        <v xml:space="preserve"> - </v>
      </c>
      <c r="AG9" s="224" t="str">
        <f>IF(ISNUMBER(Datos!DV9),Datos!DV9," - ")</f>
        <v xml:space="preserve"> - </v>
      </c>
      <c r="AH9" s="297"/>
      <c r="AI9" s="226"/>
      <c r="AJ9" s="224">
        <f>IF(ISNUMBER(Datos!M9),Datos!M9," - ")</f>
        <v>3930</v>
      </c>
      <c r="AK9" s="228">
        <f>IF(ISNUMBER(Datos!N9),Datos!N9," - ")</f>
        <v>11637</v>
      </c>
      <c r="AL9" s="228" t="str">
        <f>IF(ISNUMBER(Datos!BW9),Datos!BW9," - ")</f>
        <v xml:space="preserve"> - </v>
      </c>
      <c r="AM9" s="227" t="str">
        <f>IF(ISNUMBER(Datos!BX9),Datos!BX9," - ")</f>
        <v xml:space="preserve"> - </v>
      </c>
      <c r="AN9" s="242"/>
      <c r="AO9" s="259">
        <f>IF(ISNUMBER(((NºAsuntos!I9/NºAsuntos!G9)*11)/factor_trimestre),((NºAsuntos!I9/NºAsuntos!G9)*11)/factor_trimestre," - ")</f>
        <v>8.2874058127018309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-9.6457733654467484E-2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193</v>
      </c>
      <c r="G10" s="224">
        <f>IF(ISNUMBER(Datos!I10),Datos!I10," - ")</f>
        <v>192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222</v>
      </c>
      <c r="Z10" s="618">
        <f>IF(ISNUMBER(Datos!Q10),Datos!Q10," - ")</f>
        <v>20</v>
      </c>
      <c r="AA10" s="331">
        <f>IF(ISNUMBER(Datos!L10),Datos!L10,"-")</f>
        <v>172</v>
      </c>
      <c r="AB10" s="333"/>
      <c r="AC10" s="333"/>
      <c r="AD10" s="483"/>
      <c r="AE10" s="483">
        <f>IF(ISNUMBER(Datos!R10),Datos!R10," - ")</f>
        <v>151</v>
      </c>
      <c r="AF10" s="228" t="str">
        <f>IF(ISNUMBER(Datos!BV10),Datos!BV10," - ")</f>
        <v xml:space="preserve"> - </v>
      </c>
      <c r="AG10" s="224" t="str">
        <f>IF(ISNUMBER(Datos!DV10),Datos!DV10," - ")</f>
        <v xml:space="preserve"> - </v>
      </c>
      <c r="AH10" s="297"/>
      <c r="AI10" s="226"/>
      <c r="AJ10" s="224">
        <f>IF(ISNUMBER(Datos!M10),Datos!M10," - ")</f>
        <v>88</v>
      </c>
      <c r="AK10" s="228">
        <f>IF(ISNUMBER(Datos!N10),Datos!N10," - ")</f>
        <v>104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8.5225225225225216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8.6330935251798566E-2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11</v>
      </c>
      <c r="F13" s="897">
        <f>SUBTOTAL(9,F8:F12)</f>
        <v>193</v>
      </c>
      <c r="G13" s="897">
        <f>SUBTOTAL(9,G8:G12)</f>
        <v>192</v>
      </c>
      <c r="H13" s="907"/>
      <c r="I13" s="897">
        <f t="shared" ref="I13:N13" si="0">SUBTOTAL(9,I8:I12)</f>
        <v>0</v>
      </c>
      <c r="J13" s="866">
        <f t="shared" si="0"/>
        <v>0</v>
      </c>
      <c r="K13" s="907">
        <f t="shared" si="0"/>
        <v>0</v>
      </c>
      <c r="L13" s="907">
        <f t="shared" si="0"/>
        <v>0</v>
      </c>
      <c r="M13" s="907">
        <f t="shared" si="0"/>
        <v>0</v>
      </c>
      <c r="N13" s="907">
        <f t="shared" si="0"/>
        <v>5676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222</v>
      </c>
      <c r="Z13" s="906">
        <f t="shared" si="2"/>
        <v>7306</v>
      </c>
      <c r="AA13" s="899">
        <f t="shared" si="2"/>
        <v>172</v>
      </c>
      <c r="AB13" s="899">
        <f t="shared" si="2"/>
        <v>0</v>
      </c>
      <c r="AC13" s="899">
        <f t="shared" si="2"/>
        <v>0</v>
      </c>
      <c r="AD13" s="899">
        <f t="shared" si="2"/>
        <v>0</v>
      </c>
      <c r="AE13" s="899">
        <f t="shared" si="2"/>
        <v>15532</v>
      </c>
      <c r="AF13" s="907">
        <f t="shared" si="2"/>
        <v>0</v>
      </c>
      <c r="AG13" s="907">
        <f t="shared" si="2"/>
        <v>0</v>
      </c>
      <c r="AH13" s="907">
        <f t="shared" si="2"/>
        <v>0</v>
      </c>
      <c r="AI13" s="907">
        <f t="shared" si="2"/>
        <v>0</v>
      </c>
      <c r="AJ13" s="907">
        <f t="shared" si="2"/>
        <v>4018</v>
      </c>
      <c r="AK13" s="907">
        <f t="shared" si="2"/>
        <v>11741</v>
      </c>
      <c r="AL13" s="907">
        <f t="shared" si="2"/>
        <v>0</v>
      </c>
      <c r="AM13" s="907">
        <f t="shared" si="2"/>
        <v>0</v>
      </c>
      <c r="AN13" s="907">
        <f t="shared" si="2"/>
        <v>0</v>
      </c>
      <c r="AO13" s="903">
        <f>IF(ISNUMBER(((NºAsuntos!I13/NºAsuntos!G13)*11)/factor_trimestre),((NºAsuntos!I13/NºAsuntos!G13)*11)/factor_trimestre," - ")</f>
        <v>8.2899322362052281</v>
      </c>
      <c r="AP13" s="909" t="str">
        <f>IF(ISNUMBER(Datos!CI13/Datos!CJ13),Datos!CI13/Datos!CJ13," - ")</f>
        <v xml:space="preserve"> - </v>
      </c>
      <c r="AQ13" s="927">
        <f t="shared" ref="AQ13:AV13" si="3">SUBTOTAL(9,AQ9:AQ12)</f>
        <v>0</v>
      </c>
      <c r="AR13" s="927">
        <f t="shared" si="3"/>
        <v>-1.0126798402668918E-2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4504</v>
      </c>
      <c r="G15" s="224">
        <f>IF(ISNUMBER(IF(D_I="SI",Datos!I15,Datos!I15+Datos!AC15)),IF(D_I="SI",Datos!I15,Datos!I15+Datos!AC15)," - ")</f>
        <v>4381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696</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26013</v>
      </c>
      <c r="Z15" s="618">
        <f>IF(ISNUMBER(Datos!Q15),Datos!Q15," - ")</f>
        <v>687</v>
      </c>
      <c r="AA15" s="331">
        <f>IF(ISNUMBER(IF(D_I="SI",Datos!L15,Datos!L15+Datos!AF15)),IF(D_I="SI",Datos!L15,Datos!L15+Datos!AF15)," - ")</f>
        <v>6286</v>
      </c>
      <c r="AB15" s="333"/>
      <c r="AC15" s="333"/>
      <c r="AD15" s="483"/>
      <c r="AE15" s="483">
        <f>IF(ISNUMBER(Datos!R15),Datos!R15," - ")</f>
        <v>561</v>
      </c>
      <c r="AF15" s="228" t="str">
        <f>IF(ISNUMBER(Datos!BV15),Datos!BV15," - ")</f>
        <v xml:space="preserve"> - </v>
      </c>
      <c r="AG15" s="224"/>
      <c r="AH15" s="297"/>
      <c r="AI15" s="226"/>
      <c r="AJ15" s="224">
        <f>IF(ISNUMBER(Datos!M15),Datos!M15," - ")</f>
        <v>1710</v>
      </c>
      <c r="AK15" s="228">
        <f>IF(ISNUMBER(Datos!N15),Datos!N15," - ")</f>
        <v>19574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2.6581324722254256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658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2148</v>
      </c>
      <c r="Z17" s="618">
        <f>IF(ISNUMBER(Datos!Q17),Datos!Q17," - ")</f>
        <v>0</v>
      </c>
      <c r="AA17" s="331">
        <f>IF(ISNUMBER(Datos!L17),Datos!L17,"-")</f>
        <v>636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151</v>
      </c>
      <c r="AK17" s="228">
        <f>IF(ISNUMBER(Datos!N17),Datos!N17," - ")</f>
        <v>1063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3.2569832402234637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7</v>
      </c>
      <c r="F18" s="897">
        <f>SUBTOTAL(9,F15:F17)</f>
        <v>4504</v>
      </c>
      <c r="G18" s="897">
        <f>SUBTOTAL(9,G15:G17)</f>
        <v>5039</v>
      </c>
      <c r="H18" s="931">
        <f>SUBTOTAL(9,H15:H17)</f>
        <v>0</v>
      </c>
      <c r="I18" s="910">
        <f>SUBTOTAL(9,I15:I17)</f>
        <v>0</v>
      </c>
      <c r="J18" s="866">
        <f>SUBTOTAL(9,J14:J17)</f>
        <v>0</v>
      </c>
      <c r="K18" s="931">
        <f t="shared" ref="K18:S18" si="4">SUBTOTAL(9,K15:K17)</f>
        <v>0</v>
      </c>
      <c r="L18" s="931">
        <f t="shared" si="4"/>
        <v>0</v>
      </c>
      <c r="M18" s="931">
        <f t="shared" si="4"/>
        <v>0</v>
      </c>
      <c r="N18" s="931">
        <f t="shared" si="4"/>
        <v>696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28161</v>
      </c>
      <c r="Z18" s="931">
        <f t="shared" si="5"/>
        <v>687</v>
      </c>
      <c r="AA18" s="931">
        <f t="shared" si="5"/>
        <v>6922</v>
      </c>
      <c r="AB18" s="931">
        <f t="shared" si="5"/>
        <v>0</v>
      </c>
      <c r="AC18" s="931">
        <f t="shared" si="5"/>
        <v>0</v>
      </c>
      <c r="AD18" s="931">
        <f t="shared" si="5"/>
        <v>0</v>
      </c>
      <c r="AE18" s="931">
        <f t="shared" si="5"/>
        <v>561</v>
      </c>
      <c r="AF18" s="931">
        <f t="shared" si="5"/>
        <v>0</v>
      </c>
      <c r="AG18" s="931">
        <f t="shared" si="5"/>
        <v>0</v>
      </c>
      <c r="AH18" s="931">
        <f t="shared" si="5"/>
        <v>0</v>
      </c>
      <c r="AI18" s="931">
        <f t="shared" si="5"/>
        <v>0</v>
      </c>
      <c r="AJ18" s="931">
        <f t="shared" si="5"/>
        <v>1861</v>
      </c>
      <c r="AK18" s="931">
        <f t="shared" si="5"/>
        <v>20637</v>
      </c>
      <c r="AL18" s="931">
        <f t="shared" si="5"/>
        <v>0</v>
      </c>
      <c r="AM18" s="931">
        <f t="shared" si="5"/>
        <v>0</v>
      </c>
      <c r="AN18" s="931">
        <f t="shared" si="5"/>
        <v>0</v>
      </c>
      <c r="AO18" s="933">
        <f>IF(ISNUMBER(((NºAsuntos!I18/NºAsuntos!G18)*11)/factor_trimestre),((NºAsuntos!I18/NºAsuntos!G18)*11)/factor_trimestre," - ")</f>
        <v>2.7038102340115762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4697</v>
      </c>
      <c r="G19" s="819">
        <f t="shared" si="7"/>
        <v>5231</v>
      </c>
      <c r="H19" s="820">
        <f t="shared" si="7"/>
        <v>0</v>
      </c>
      <c r="I19" s="819">
        <f t="shared" si="7"/>
        <v>0</v>
      </c>
      <c r="J19" s="821">
        <f t="shared" si="7"/>
        <v>0</v>
      </c>
      <c r="K19" s="819">
        <f t="shared" si="7"/>
        <v>0</v>
      </c>
      <c r="L19" s="822">
        <f t="shared" si="7"/>
        <v>0</v>
      </c>
      <c r="M19" s="819">
        <f t="shared" si="7"/>
        <v>0</v>
      </c>
      <c r="N19" s="820">
        <f t="shared" si="7"/>
        <v>6372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28383</v>
      </c>
      <c r="Z19" s="826">
        <f t="shared" si="8"/>
        <v>7993</v>
      </c>
      <c r="AA19" s="827">
        <f t="shared" si="8"/>
        <v>7094</v>
      </c>
      <c r="AB19" s="827">
        <f t="shared" si="8"/>
        <v>0</v>
      </c>
      <c r="AC19" s="827">
        <f t="shared" si="8"/>
        <v>0</v>
      </c>
      <c r="AD19" s="828">
        <f t="shared" si="8"/>
        <v>0</v>
      </c>
      <c r="AE19" s="828">
        <f t="shared" si="8"/>
        <v>16093</v>
      </c>
      <c r="AF19" s="829">
        <f t="shared" si="8"/>
        <v>0</v>
      </c>
      <c r="AG19" s="830">
        <f t="shared" si="8"/>
        <v>0</v>
      </c>
      <c r="AH19" s="831">
        <f t="shared" si="8"/>
        <v>0</v>
      </c>
      <c r="AI19" s="829">
        <f t="shared" si="8"/>
        <v>0</v>
      </c>
      <c r="AJ19" s="819">
        <f t="shared" si="8"/>
        <v>5879</v>
      </c>
      <c r="AK19" s="819">
        <f t="shared" si="8"/>
        <v>32378</v>
      </c>
      <c r="AL19" s="819">
        <f t="shared" si="8"/>
        <v>0</v>
      </c>
      <c r="AM19" s="832">
        <f t="shared" si="8"/>
        <v>0</v>
      </c>
      <c r="AN19" s="822">
        <f>IF(ISNUMBER(Datos!K19/Datos!J19),Datos!K19/Datos!J19," - ")</f>
        <v>0.99245792644920006</v>
      </c>
      <c r="AO19" s="822">
        <f>IF(ISNUMBER(FIND("06",Criterios!A8,1)),(IF(ISNUMBER(((Datos!R19/Datos!Q19)*11)/factor_trimestre),((Datos!R19/Datos!Q19)*11)/factor_trimestre," - ")),(IF(ISNUMBER(((Datos!L19/Datos!K19)*11)/factor_trimestre),((Datos!L19/Datos!K19)*11)/factor_trimestre," - ")))</f>
        <v>5.0586597441748484</v>
      </c>
      <c r="AP19" s="833" t="str">
        <f>IF(ISNUMBER(Datos!CI19/Datos!CJ19),Datos!CI19/Datos!CJ19," - ")</f>
        <v xml:space="preserve"> - </v>
      </c>
      <c r="AQ19" s="833">
        <f>IF(OR(ISNUMBER(FIND("01",Criterios!A8,1)),ISNUMBER(FIND("02",Criterios!A8,1)),ISNUMBER(FIND("03",Criterios!A8,1)),ISNUMBER(FIND("04",Criterios!A8,1))),(J19-Y19+K19)/(F19-K19),(I19-Y19+K19)/(F19-K19))</f>
        <v>-6.042793272301469</v>
      </c>
      <c r="AR19" s="833">
        <f>IF(ISNUMBER((Datos!P19-Datos!Q19+O19)/(Datos!R19-Datos!P19+Datos!Q19-O19)),(Datos!P19-Datos!Q19+O19)/(Datos!R19-Datos!P19+Datos!Q19-O19)," - ")</f>
        <v>-9.1509540476459303E-2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2092.4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2488.9570104764766</v>
      </c>
      <c r="G21" s="551">
        <f>IF(ISNUMBER(STDEV(G8:G18)),STDEV(G8:G18),"-")</f>
        <v>2408.3544797226177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1730.0537178557972</v>
      </c>
      <c r="AK21" s="251"/>
      <c r="AL21" s="251">
        <f>IF(ISNUMBER(STDEV(AL8:AL18)),STDEV(AL8:AL18),"-")</f>
        <v>0</v>
      </c>
      <c r="AM21" s="253">
        <f>IF(ISNUMBER(STDEV(AM8:AM18)),STDEV(AM8:AM18),"-")</f>
        <v>0</v>
      </c>
      <c r="AN21" s="538">
        <f>IF(ISNUMBER(STDEV(AN8:AN18)),STDEV(AN8:AN18),"-")</f>
        <v>0</v>
      </c>
      <c r="AO21" s="539">
        <f>IF(ISNUMBER(STDEV(AO8:AO18)),STDEV(AO8:AO18),"-")</f>
        <v>3.0175784620856723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6v4+bMZPED34t5Wqq8sar6MJInzm0VRc3XGGni4OSx8+EW4YKZkKf2VzznaC7k96Rsrri713dIxvOcjpma1uKw==" saltValue="1L7fN0SkQG3yhMLPqMn0z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EUoea8EF71yAB5MlJnnWzN+Jq2lKCdqYmf+HHglUfw1oMfA/dl3PzIwaDEoi6KJdsoIb4NeodFjbbjoXGxMfA==" saltValue="Rjsidttzb6Y9pcAF2TTZ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Kcin/JQbf6RdlGs8WXc5f3QKkODb0AsdmqS+4VogrU31c4S9bXdl+aT70YLBFMvohJA9pnu/PDW4jUaEygDig==" saltValue="CrgpUS+1ccH1NSOKP3TEE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HOSPITALET DE LLOBREGAT, 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0.19448209099709585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0.13751960536338567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eleFL4V75AAyPIvqVSNi6EhAV8eYSl1zMxkdHFjFP6PC0wowOOsWfybN/xCcvQFm4E6z52VU5w1YWnysUxlH0w==" saltValue="loMWsdrgbNE6rYOmmjU06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g72bajgNdhEf9YGEmziyV9KokOgrsye7QFP0b43QfLQLi+8SqiP/W5/dPIhsNVQTfEW2YwhP7Ek3twDsippJg==" saltValue="nSMP3JrxWTJGAuPe6hws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HOSPITALET DE LLOBREGAT, L'</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9</v>
      </c>
      <c r="C9" s="402">
        <f>IF(ISNUMBER(IF(J_V="SI",Datos!I9,Datos!I9+Datos!Y9)),IF(J_V="SI",Datos!I9,Datos!I9+Datos!Y9)," - ")</f>
        <v>17195</v>
      </c>
      <c r="D9" s="403">
        <f>IF(ISNUMBER(C9/Datos!BH9),C9/Datos!BH9," - ")</f>
        <v>1910.5555555555557</v>
      </c>
      <c r="E9" s="402">
        <f>IF(ISNUMBER(IF(J_V="SI",Datos!J9,Datos!J9+Datos!Z9)),IF(J_V="SI",Datos!J9,Datos!J9+Datos!Z9)," - ")</f>
        <v>19181</v>
      </c>
      <c r="F9" s="403">
        <f>IF(ISNUMBER(E9/B9),E9/B9," - ")</f>
        <v>2131.2222222222222</v>
      </c>
      <c r="G9" s="402">
        <f>IF(ISNUMBER(IF(J_V="SI",Datos!K9,Datos!K9+Datos!AA9)),IF(J_V="SI",Datos!K9,Datos!K9+Datos!AA9)," - ")</f>
        <v>20438</v>
      </c>
      <c r="H9" s="403">
        <f>IF(ISNUMBER(G9/B9),G9/B9," - ")</f>
        <v>2270.8888888888887</v>
      </c>
      <c r="I9" s="402">
        <f>IF(ISNUMBER(IF(J_V="SI",Datos!L9,Datos!L9+Datos!AB9)),IF(J_V="SI",Datos!L9,Datos!L9+Datos!AB9)," - ")</f>
        <v>15398</v>
      </c>
      <c r="J9" s="403">
        <f>IF(ISNUMBER(I9/B9),I9/B9," - ")</f>
        <v>1710.8888888888889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192</v>
      </c>
      <c r="D10" s="403">
        <f>IF(ISNUMBER(C10/Datos!BH10),C10/Datos!BH10," - ")</f>
        <v>192</v>
      </c>
      <c r="E10" s="402">
        <f>IF(ISNUMBER(Datos!J10),Datos!J10," - ")</f>
        <v>201</v>
      </c>
      <c r="F10" s="403">
        <f>IF(ISNUMBER(E10/B10),E10/B10," - ")</f>
        <v>100.5</v>
      </c>
      <c r="G10" s="402">
        <f>IF(ISNUMBER(Datos!K10),Datos!K10," - ")</f>
        <v>222</v>
      </c>
      <c r="H10" s="403">
        <f>IF(ISNUMBER(G10/B10),G10/B10," - ")</f>
        <v>111</v>
      </c>
      <c r="I10" s="402">
        <f>IF(ISNUMBER(Datos!L10),Datos!L10," - ")</f>
        <v>172</v>
      </c>
      <c r="J10" s="403">
        <f>IF(ISNUMBER(I10/B10),I10/B10," - ")</f>
        <v>86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11</v>
      </c>
      <c r="C13" s="848">
        <f>SUBTOTAL(9,C8:C12)</f>
        <v>17387</v>
      </c>
      <c r="D13" s="849" t="str">
        <f>IF(ISNUMBER(C13/Datos!BI13),C13/Datos!BI13," - ")</f>
        <v xml:space="preserve"> - </v>
      </c>
      <c r="E13" s="848">
        <f>SUBTOTAL(9,E8:E12)</f>
        <v>19382</v>
      </c>
      <c r="F13" s="849">
        <f>IF(ISNUMBER(E13/B13),E13/B13," - ")</f>
        <v>1762</v>
      </c>
      <c r="G13" s="848">
        <f>SUBTOTAL(9,G8:G12)</f>
        <v>20660</v>
      </c>
      <c r="H13" s="849">
        <f>IF(ISNUMBER(G13/B13),G13/B13," - ")</f>
        <v>1878.1818181818182</v>
      </c>
      <c r="I13" s="848">
        <f>SUBTOTAL(9,I8:I12)</f>
        <v>15570</v>
      </c>
      <c r="J13" s="849">
        <f>IF(ISNUMBER(I13/B13),I13/B13," - ")</f>
        <v>1415.4545454545455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4381</v>
      </c>
      <c r="D15" s="403">
        <f>IF(ISNUMBER(C15/Datos!BH15),C15/Datos!BH15," - ")</f>
        <v>876.2</v>
      </c>
      <c r="E15" s="402">
        <f>IF(ISNUMBER(IF(D_I="SI",Datos!J15,Datos!J15+Datos!AD15)),IF(D_I="SI",Datos!J15,Datos!J15+Datos!AD15)," - ")</f>
        <v>27795</v>
      </c>
      <c r="F15" s="403">
        <f>IF(ISNUMBER(E15/B15),E15/B15," - ")</f>
        <v>5559</v>
      </c>
      <c r="G15" s="402">
        <f>IF(ISNUMBER(IF(D_I="SI",Datos!K15,Datos!K15+Datos!AE15)),IF(D_I="SI",Datos!K15,Datos!K15+Datos!AE15)," - ")</f>
        <v>26013</v>
      </c>
      <c r="H15" s="403">
        <f>IF(ISNUMBER(G15/B15),G15/B15," - ")</f>
        <v>5202.6000000000004</v>
      </c>
      <c r="I15" s="402">
        <f>IF(ISNUMBER(IF(D_I="SI",Datos!L15,Datos!L15+Datos!AF15)),IF(D_I="SI",Datos!L15,Datos!L15+Datos!AF15)," - ")</f>
        <v>6286</v>
      </c>
      <c r="J15" s="403">
        <f>IF(ISNUMBER(I15/B15),I15/B15," - ")</f>
        <v>1257.2</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658</v>
      </c>
      <c r="D17" s="403">
        <f>IF(ISNUMBER(C17/Datos!BH17),C17/Datos!BH17," - ")</f>
        <v>658</v>
      </c>
      <c r="E17" s="402">
        <f>IF(ISNUMBER(IF(D_I="SI",Datos!J17,Datos!J17+Datos!AD17)),IF(D_I="SI",Datos!J17,Datos!J17+Datos!AD17)," - ")</f>
        <v>2130</v>
      </c>
      <c r="F17" s="403">
        <f>IF(ISNUMBER(E17/B17),E17/B17," - ")</f>
        <v>1065</v>
      </c>
      <c r="G17" s="402">
        <f>IF(ISNUMBER(IF(D_I="SI",Datos!K17,Datos!K17+Datos!AE17)),IF(D_I="SI",Datos!K17,Datos!K17+Datos!AE17)," - ")</f>
        <v>2148</v>
      </c>
      <c r="H17" s="403">
        <f>IF(ISNUMBER(G17/B17),G17/B17," - ")</f>
        <v>1074</v>
      </c>
      <c r="I17" s="402">
        <f>IF(ISNUMBER(IF(D_I="SI",Datos!L17,Datos!L17+Datos!AF17)),IF(D_I="SI",Datos!L17,Datos!L17+Datos!AF17)," - ")</f>
        <v>636</v>
      </c>
      <c r="J17" s="403">
        <f>IF(ISNUMBER(I17/B17),I17/B17," - ")</f>
        <v>318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5039</v>
      </c>
      <c r="D18" s="849" t="str">
        <f>IF(ISNUMBER(C18/Datos!BI18),C18/Datos!BI18," - ")</f>
        <v xml:space="preserve"> - </v>
      </c>
      <c r="E18" s="848">
        <f>SUBTOTAL(9,E14:E17)</f>
        <v>29925</v>
      </c>
      <c r="F18" s="849">
        <f>IF(ISNUMBER(E18/B18),E18/B18," - ")</f>
        <v>4275</v>
      </c>
      <c r="G18" s="848">
        <f>SUBTOTAL(9,G14:G17)</f>
        <v>28161</v>
      </c>
      <c r="H18" s="849">
        <f>IF(ISNUMBER(G18/B18),G18/B18," - ")</f>
        <v>4023</v>
      </c>
      <c r="I18" s="848">
        <f>SUBTOTAL(9,I14:I17)</f>
        <v>6922</v>
      </c>
      <c r="J18" s="849">
        <f>IF(ISNUMBER(I18/B18),I18/B18," - ")</f>
        <v>988.85714285714289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16</v>
      </c>
      <c r="C19" s="793">
        <f>SUBTOTAL(9,C9:C18)</f>
        <v>22426</v>
      </c>
      <c r="D19" s="794" t="str">
        <f>IF(ISNUMBER(C19/Datos!BI19),C19/Datos!BI19," - ")</f>
        <v xml:space="preserve"> - </v>
      </c>
      <c r="E19" s="793">
        <f>SUBTOTAL(9,E9:E18)</f>
        <v>49307</v>
      </c>
      <c r="F19" s="794">
        <f>IF(ISNUMBER(E19/B19),E19/B19," - ")</f>
        <v>3081.6875</v>
      </c>
      <c r="G19" s="793">
        <f>SUBTOTAL(9,G9:G18)</f>
        <v>48821</v>
      </c>
      <c r="H19" s="794">
        <f>IF(ISNUMBER(G19/B19),G19/B19," - ")</f>
        <v>3051.3125</v>
      </c>
      <c r="I19" s="793">
        <f>SUBTOTAL(9,I9:I18)</f>
        <v>22492</v>
      </c>
      <c r="J19" s="794">
        <f>IF(ISNUMBER(I19/B19),I19/B19," - ")</f>
        <v>1405.75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ZLHmB46atzbAW/W43IcczLI1Zm0B7Wz1+NEkGhcs01Poopn686Lol65FJKSV1PAJbb5hNfu9g7tyP65dXyQ3Dg==" saltValue="RQ5mMjJgxhMUk5r1qj0c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HOSPITALET DE LLOBREGAT, 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9</v>
      </c>
      <c r="B9" s="500" t="s">
        <v>246</v>
      </c>
      <c r="C9" s="159" t="str">
        <f>Datos!A9</f>
        <v xml:space="preserve">Jdos. 1ª Instancia   </v>
      </c>
      <c r="D9" s="501"/>
      <c r="E9" s="681">
        <f>IF(ISNUMBER(Datos!AQ9),Datos!AQ9," - ")</f>
        <v>9</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193</v>
      </c>
      <c r="G10" s="683">
        <f>IF(ISNUMBER(Datos!I10),Datos!I10," - ")</f>
        <v>192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222</v>
      </c>
      <c r="AC10" s="682" t="str">
        <f>IF(ISNUMBER(IF(D_I="SI",DatosP!K17,DatosP!K17+DatosP!AE17)),IF(D_I="SI",DatosP!K17,DatosP!K17+DatosP!AE17)," - ")</f>
        <v xml:space="preserve"> - </v>
      </c>
      <c r="AD10" s="684"/>
      <c r="AE10" s="684"/>
      <c r="AF10" s="687">
        <f>IF(ISNUMBER(Datos!L10),Datos!L10,"-")</f>
        <v>172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88</v>
      </c>
      <c r="AM10" s="689">
        <f>IF(ISNUMBER(Datos!N10+DatosP!N17),Datos!N10+DatosP!N17," - ")</f>
        <v>104</v>
      </c>
      <c r="AN10" s="689">
        <f>IF(ISNUMBER(Datos!BW10+DatosP!BW17),Datos!BW10+DatosP!BW17," - ")</f>
        <v>0</v>
      </c>
      <c r="AO10" s="690">
        <f>IF(ISNUMBER(Datos!BX10+DatosP!BX17),Datos!BX10+DatosP!BX17," - ")</f>
        <v>0</v>
      </c>
      <c r="AP10" s="692">
        <f>IF(ISNUMBER(((Datos!L10/Datos!K10)*11)/factor_trimestre),((Datos!L10/Datos!K10)*11)/factor_trimestre," - ")</f>
        <v>8.5225225225225216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11</v>
      </c>
      <c r="F13" s="937">
        <f t="shared" si="0"/>
        <v>193</v>
      </c>
      <c r="G13" s="937">
        <f t="shared" si="0"/>
        <v>192</v>
      </c>
      <c r="H13" s="937">
        <f t="shared" si="0"/>
        <v>0</v>
      </c>
      <c r="I13" s="939">
        <f t="shared" si="0"/>
        <v>0</v>
      </c>
      <c r="J13" s="938">
        <f t="shared" si="0"/>
        <v>0</v>
      </c>
      <c r="K13" s="938">
        <f t="shared" si="0"/>
        <v>0</v>
      </c>
      <c r="L13" s="940">
        <f t="shared" si="0"/>
        <v>0</v>
      </c>
      <c r="M13" s="940">
        <f t="shared" si="0"/>
        <v>0</v>
      </c>
      <c r="N13" s="938">
        <f t="shared" si="0"/>
        <v>32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222</v>
      </c>
      <c r="AC13" s="938">
        <f t="shared" si="1"/>
        <v>0</v>
      </c>
      <c r="AD13" s="938">
        <f t="shared" si="1"/>
        <v>0</v>
      </c>
      <c r="AE13" s="938">
        <f t="shared" si="1"/>
        <v>0</v>
      </c>
      <c r="AF13" s="938">
        <f t="shared" si="1"/>
        <v>172</v>
      </c>
      <c r="AG13" s="938">
        <f t="shared" si="1"/>
        <v>0</v>
      </c>
      <c r="AH13" s="938">
        <f t="shared" si="1"/>
        <v>0</v>
      </c>
      <c r="AI13" s="938">
        <f t="shared" si="1"/>
        <v>0</v>
      </c>
      <c r="AJ13" s="938">
        <f t="shared" si="1"/>
        <v>0</v>
      </c>
      <c r="AK13" s="938">
        <f t="shared" si="1"/>
        <v>0</v>
      </c>
      <c r="AL13" s="938">
        <f t="shared" si="1"/>
        <v>88</v>
      </c>
      <c r="AM13" s="938">
        <f t="shared" si="1"/>
        <v>104</v>
      </c>
      <c r="AN13" s="938">
        <f t="shared" si="1"/>
        <v>0</v>
      </c>
      <c r="AO13" s="938">
        <f t="shared" si="1"/>
        <v>0</v>
      </c>
      <c r="AP13" s="943">
        <f>IF(ISNUMBER(((Datos!L13/Datos!K13)*11)/factor_trimestre),((Datos!L13/Datos!K13)*11)/factor_trimestre," - ")</f>
        <v>8.441038457615015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-1.150259067357513</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2.7038102340115762</v>
      </c>
      <c r="AQ18" s="943">
        <f>IF(ISNUMBER(((Datos!M18/Datos!L18)*11)/factor_trimestre),((Datos!M18/Datos!L18)*11)/factor_trimestre," - ")</f>
        <v>2.9573822594625829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1.6304347826086956E-2</v>
      </c>
      <c r="AW18" s="945">
        <f>IF(ISNUMBER((Datos!Q18-Datos!R18)/(Datos!S18-Datos!Q18+Datos!R18)),(Datos!Q18-Datos!R18)/(Datos!S18-Datos!Q18+Datos!R18)," - ")</f>
        <v>2.7962716378162451E-2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11</v>
      </c>
      <c r="F19" s="950">
        <f t="shared" si="4"/>
        <v>193</v>
      </c>
      <c r="G19" s="950">
        <f t="shared" si="4"/>
        <v>192</v>
      </c>
      <c r="H19" s="950">
        <f t="shared" si="4"/>
        <v>0</v>
      </c>
      <c r="I19" s="951">
        <f t="shared" si="4"/>
        <v>0</v>
      </c>
      <c r="J19" s="952">
        <f t="shared" si="4"/>
        <v>0</v>
      </c>
      <c r="K19" s="952">
        <f t="shared" si="4"/>
        <v>0</v>
      </c>
      <c r="L19" s="952">
        <f t="shared" si="4"/>
        <v>0</v>
      </c>
      <c r="M19" s="952">
        <f t="shared" si="4"/>
        <v>0</v>
      </c>
      <c r="N19" s="951">
        <f t="shared" si="4"/>
        <v>32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222</v>
      </c>
      <c r="AC19" s="956">
        <f t="shared" si="5"/>
        <v>0</v>
      </c>
      <c r="AD19" s="956">
        <f t="shared" si="5"/>
        <v>0</v>
      </c>
      <c r="AE19" s="956">
        <f t="shared" si="5"/>
        <v>0</v>
      </c>
      <c r="AF19" s="957">
        <f t="shared" si="5"/>
        <v>172</v>
      </c>
      <c r="AG19" s="957">
        <f t="shared" si="5"/>
        <v>0</v>
      </c>
      <c r="AH19" s="957">
        <f t="shared" si="5"/>
        <v>0</v>
      </c>
      <c r="AI19" s="957">
        <f t="shared" si="5"/>
        <v>0</v>
      </c>
      <c r="AJ19" s="958">
        <f t="shared" si="5"/>
        <v>0</v>
      </c>
      <c r="AK19" s="958">
        <f t="shared" si="5"/>
        <v>0</v>
      </c>
      <c r="AL19" s="950">
        <f t="shared" si="5"/>
        <v>88</v>
      </c>
      <c r="AM19" s="950">
        <f t="shared" si="5"/>
        <v>104</v>
      </c>
      <c r="AN19" s="950">
        <f t="shared" si="5"/>
        <v>0</v>
      </c>
      <c r="AO19" s="950">
        <f t="shared" si="5"/>
        <v>0</v>
      </c>
      <c r="AP19" s="950">
        <f>IF(ISNUMBER(((Datos!L19/Datos!K19)*11)/factor_trimestre),((Datos!L19/Datos!K19)*11)/factor_trimestre," - ")</f>
        <v>5.0586597441748484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-1.150259067357513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-9.1509540476459303E-2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5.00666222813829</v>
      </c>
      <c r="F21" s="735">
        <f>IF(ISNUMBER(STDEV(F8:F18)),STDEV(F8:F18),"-")</f>
        <v>111.42860195359776</v>
      </c>
      <c r="G21" s="736">
        <f>IF(ISNUMBER(STDEV(G8:G18)),STDEV(G8:G18),"-")</f>
        <v>110.85125168440814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128.17175976009693</v>
      </c>
      <c r="AC21" s="737">
        <f>IF(ISNUMBER(STDEV(AC8:AC18)),STDEV(AC8:AC18),"-")</f>
        <v>0</v>
      </c>
      <c r="AD21" s="740"/>
      <c r="AE21" s="740"/>
      <c r="AF21" s="740"/>
      <c r="AG21" s="740"/>
      <c r="AH21" s="740"/>
      <c r="AI21" s="740"/>
      <c r="AJ21" s="741">
        <f>IF(ISNUMBER(STDEV(AJ8:AJ18)),STDEV(AJ8:AJ18),"-")</f>
        <v>0</v>
      </c>
      <c r="AK21" s="743"/>
      <c r="AL21" s="735">
        <f>IF(ISNUMBER(STDEV(AL8:AL18)),STDEV(AL8:AL18),"-")</f>
        <v>50.806823688687061</v>
      </c>
      <c r="AM21" s="735"/>
      <c r="AN21" s="735">
        <f>IF(ISNUMBER(STDEV(AN8:AN18)),STDEV(AN8:AN18),"-")</f>
        <v>0</v>
      </c>
      <c r="AO21" s="741">
        <f>IF(ISNUMBER(STDEV(AO8:AO18)),STDEV(AO8:AO18),"-")</f>
        <v>0</v>
      </c>
      <c r="AP21" s="778">
        <f>IF(ISNUMBER(STDEV(AP8:AP18)),STDEV(AP8:AP18),"-")</f>
        <v>3.3361614678902565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BfD2M0ndAgTwzfR3g5Yu7ysDHPzC1mFW8zeI4OPRElwgQh+6evXHzQzmasKPJjkbiuwhvCYU27rQaQIM0zBUA==" saltValue="tD7bTEvTdRcRknPXdl6g3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HOSPITALET DE LLOBREGAT, 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9</v>
      </c>
      <c r="D9" s="402">
        <f>Datos!BK9</f>
        <v>0</v>
      </c>
      <c r="E9" s="402">
        <f>Datos!AQ9</f>
        <v>9</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2</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fA4f5C32B0EqU/25DfWoC95hnE4QbmxOaolcTbnE6u+a6mvoorHLZ0d014Kslh9QdqfpsdnUSgaW3aCDFAFQdQ==" saltValue="i+l74FKPL8GYKLC4nJGT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HOSPITALET DE LLOBREGAT, L'</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9</v>
      </c>
      <c r="C9" s="409">
        <f>Datos!AQ9</f>
        <v>9</v>
      </c>
      <c r="D9" s="402">
        <f>IF(ISNUMBER(Datos!M9),Datos!M9," - ")</f>
        <v>3930</v>
      </c>
      <c r="E9" s="403">
        <f t="shared" ref="E9:E13" si="0">IF(ISNUMBER(D9/B9),D9/B9," - ")</f>
        <v>436.66666666666669</v>
      </c>
      <c r="F9" s="402">
        <f>IF(ISNUMBER(Datos!N9),Datos!N9," - ")</f>
        <v>11637</v>
      </c>
      <c r="G9" s="403">
        <f t="shared" ref="G9:G13" si="1">IF(ISNUMBER(F9/B9),F9/B9," - ")</f>
        <v>1293</v>
      </c>
      <c r="H9" s="402">
        <f>IF(ISNUMBER(Datos!O9),Datos!O9," - ")</f>
        <v>6520</v>
      </c>
      <c r="I9" s="403">
        <f>IF(ISNUMBER(H9/B9),H9/B9," - ")</f>
        <v>724.44444444444446</v>
      </c>
      <c r="BZ9" s="1185">
        <f>Datos!EZ9</f>
        <v>0</v>
      </c>
    </row>
    <row r="10" spans="1:78">
      <c r="A10" s="401" t="str">
        <f>Datos!A10</f>
        <v>Jdos. Violencia contra la mujer/Secc Viol. TI.</v>
      </c>
      <c r="B10" s="426">
        <f>Datos!AO10</f>
        <v>2</v>
      </c>
      <c r="C10" s="409">
        <f>Datos!AQ10</f>
        <v>2</v>
      </c>
      <c r="D10" s="402">
        <f>IF(ISNUMBER(Datos!M10),Datos!M10," - ")</f>
        <v>88</v>
      </c>
      <c r="E10" s="403">
        <f>IF(ISNUMBER(D10/B10),D10/B10," - ")</f>
        <v>44</v>
      </c>
      <c r="F10" s="402">
        <f>IF(ISNUMBER(Datos!N10),Datos!N10," - ")</f>
        <v>104</v>
      </c>
      <c r="G10" s="403">
        <f>IF(ISNUMBER(F10/B10),F10/B10," - ")</f>
        <v>52</v>
      </c>
      <c r="H10" s="402">
        <f>IF(ISNUMBER(Datos!O10),Datos!O10," - ")</f>
        <v>43</v>
      </c>
      <c r="I10" s="403">
        <f t="shared" ref="I10:I12" si="2">IF(ISNUMBER(H10/B10),H10/B10," - ")</f>
        <v>21.5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11</v>
      </c>
      <c r="C13" s="850">
        <f>Datos!AR13</f>
        <v>11</v>
      </c>
      <c r="D13" s="848">
        <f>SUBTOTAL(9,D9:D12)</f>
        <v>4018</v>
      </c>
      <c r="E13" s="849">
        <f t="shared" si="0"/>
        <v>365.27272727272725</v>
      </c>
      <c r="F13" s="848">
        <f>SUBTOTAL(9,F9:F12)</f>
        <v>11741</v>
      </c>
      <c r="G13" s="849">
        <f t="shared" si="1"/>
        <v>1067.3636363636363</v>
      </c>
      <c r="H13" s="848">
        <f>SUBTOTAL(9,H9:H12)</f>
        <v>6563</v>
      </c>
      <c r="I13" s="849">
        <f>IF(ISNUMBER(H13/B13),H13/B13," - ")</f>
        <v>596.63636363636363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1710</v>
      </c>
      <c r="E15" s="403">
        <f t="shared" ref="E15:E18" si="3">IF(ISNUMBER(D15/B15),D15/B15," - ")</f>
        <v>342</v>
      </c>
      <c r="F15" s="402">
        <f>IF(ISNUMBER(Datos!N15),Datos!N15," - ")</f>
        <v>19574</v>
      </c>
      <c r="G15" s="403">
        <f t="shared" ref="G15:G18" si="4">IF(ISNUMBER(F15/B15),F15/B15," - ")</f>
        <v>3914.8</v>
      </c>
      <c r="H15" s="402">
        <f>IF(ISNUMBER(Datos!O15),Datos!O15," - ")</f>
        <v>210</v>
      </c>
      <c r="I15" s="403">
        <f t="shared" ref="I15:I17" si="5">IF(ISNUMBER(H15/B15),H15/B15," - ")</f>
        <v>42</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151</v>
      </c>
      <c r="E17" s="403">
        <f>IF(ISNUMBER(D17/B17),D17/B17," - ")</f>
        <v>75.5</v>
      </c>
      <c r="F17" s="402">
        <f>IF(ISNUMBER(Datos!N17),Datos!N17," - ")</f>
        <v>1063</v>
      </c>
      <c r="G17" s="403">
        <f>IF(ISNUMBER(F17/B17),F17/B17," - ")</f>
        <v>531.5</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1861</v>
      </c>
      <c r="E18" s="849">
        <f t="shared" si="3"/>
        <v>265.85714285714283</v>
      </c>
      <c r="F18" s="848">
        <f>SUBTOTAL(9,F15:F17)</f>
        <v>20637</v>
      </c>
      <c r="G18" s="849">
        <f t="shared" si="4"/>
        <v>2948.1428571428573</v>
      </c>
      <c r="H18" s="848">
        <f>SUBTOTAL(9,H15:H17)</f>
        <v>210</v>
      </c>
      <c r="I18" s="849">
        <f>IF(ISNUMBER(H18/B18),H18/B18," - ")</f>
        <v>30</v>
      </c>
      <c r="BZ18" s="1185"/>
    </row>
    <row r="19" spans="1:78" ht="14.25" thickTop="1" thickBot="1">
      <c r="A19" s="792" t="str">
        <f>Datos!A19</f>
        <v>TOTAL JURISDICCIONES</v>
      </c>
      <c r="B19" s="793">
        <f>Datos!AP19</f>
        <v>16</v>
      </c>
      <c r="C19" s="793">
        <f>Datos!AR19</f>
        <v>16</v>
      </c>
      <c r="D19" s="793">
        <f>SUBTOTAL(9,D8:D18)</f>
        <v>5879</v>
      </c>
      <c r="E19" s="794">
        <f>IF(ISNUMBER(D19/B19),D19/B19," - ")</f>
        <v>367.4375</v>
      </c>
      <c r="F19" s="793">
        <f>SUBTOTAL(9,F8:F18)</f>
        <v>32378</v>
      </c>
      <c r="G19" s="794">
        <f>IF(ISNUMBER(F19/B19),F19/B19," - ")</f>
        <v>2023.625</v>
      </c>
      <c r="H19" s="793">
        <f>SUBTOTAL(9,H8:H18)</f>
        <v>6773</v>
      </c>
      <c r="I19" s="794">
        <f>IF(ISNUMBER(H19/B19),H19/B19," - ")</f>
        <v>423.3125</v>
      </c>
    </row>
    <row r="22" spans="1:78">
      <c r="A22" s="390" t="str">
        <f>Criterios!A4</f>
        <v>Fecha Informe: 18 mar. 2026</v>
      </c>
    </row>
    <row r="27" spans="1:78">
      <c r="A27" s="413"/>
    </row>
  </sheetData>
  <sheetProtection algorithmName="SHA-512" hashValue="Zks35rL/QnvGo1FKoIErP08ktWdZcyYvaDKMip7VfRnDiLnLc/q8Z0ujdCoPnOK7k7myGhkg1m3LULd7r6R9zA==" saltValue="/SzK52d2MAnTvo+IYdKF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HOSPITALET DE LLOBREGAT, L'</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5644</v>
      </c>
      <c r="C9" s="433">
        <f>IF(ISNUMBER(Datos!Q9),Datos!Q9," - ")</f>
        <v>7286</v>
      </c>
      <c r="D9" s="407">
        <f>IF(ISNUMBER(Datos!R9),Datos!R9," - ")</f>
        <v>15381</v>
      </c>
    </row>
    <row r="10" spans="1:4">
      <c r="A10" s="401" t="str">
        <f>Datos!A10</f>
        <v>Jdos. Violencia contra la mujer/Secc Viol. TI.</v>
      </c>
      <c r="B10" s="432">
        <f>IF(ISNUMBER(Datos!P10),Datos!P10," - ")</f>
        <v>32</v>
      </c>
      <c r="C10" s="433">
        <f>IF(ISNUMBER(Datos!Q10),Datos!Q10," - ")</f>
        <v>20</v>
      </c>
      <c r="D10" s="407">
        <f>IF(ISNUMBER(Datos!R10),Datos!R10," - ")</f>
        <v>151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5676</v>
      </c>
      <c r="C13" s="852">
        <f>SUBTOTAL(9,C9:C12)</f>
        <v>7306</v>
      </c>
      <c r="D13" s="850">
        <f>SUBTOTAL(9,D9:D12)</f>
        <v>15532</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696</v>
      </c>
      <c r="C15" s="433">
        <f>IF(ISNUMBER(Datos!Q15),Datos!Q15," - ")</f>
        <v>687</v>
      </c>
      <c r="D15" s="407">
        <f>IF(ISNUMBER(Datos!R15),Datos!R15," - ")</f>
        <v>561</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696</v>
      </c>
      <c r="C18" s="852">
        <f>SUBTOTAL(9,C15:C17)</f>
        <v>687</v>
      </c>
      <c r="D18" s="850">
        <f>SUBTOTAL(9,D15:D17)</f>
        <v>561</v>
      </c>
    </row>
    <row r="19" spans="1:4" ht="16.5" customHeight="1" thickTop="1" thickBot="1">
      <c r="A19" s="792" t="str">
        <f>Datos!A19</f>
        <v>TOTAL JURISDICCIONES</v>
      </c>
      <c r="B19" s="797">
        <f>SUBTOTAL(9,B8:B18)</f>
        <v>6372</v>
      </c>
      <c r="C19" s="798">
        <f>SUBTOTAL(9,C8:C18)</f>
        <v>7993</v>
      </c>
      <c r="D19" s="799">
        <f>SUBTOTAL(9,D8:D18)</f>
        <v>16093</v>
      </c>
    </row>
    <row r="20" spans="1:4" ht="7.5" customHeight="1"/>
    <row r="21" spans="1:4" ht="6" customHeight="1"/>
    <row r="22" spans="1:4">
      <c r="A22" s="390" t="str">
        <f>Criterios!A4</f>
        <v>Fecha Informe: 18 mar. 2026</v>
      </c>
    </row>
    <row r="27" spans="1:4">
      <c r="A27" s="413"/>
    </row>
  </sheetData>
  <sheetProtection algorithmName="SHA-512" hashValue="qgTMtmVvjh06w3nwI061waRCJkkYp3ZFx6N1Ks2rPOWq98nP4iJpMVNjzBMhnL/2MXq/IsbHnb3uDNeu05PLSw==" saltValue="jwXeGvIAnj1eGNLf/NWn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HOSPITALET DE LLOBREGAT, L'</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-4.9106895979649394E-2</v>
      </c>
      <c r="C9" s="455">
        <f>IF(ISNUMBER(
   IF(J_V="SI",(Datos!J9-Datos!T9)/Datos!T9,(Datos!J9+Datos!Z9-(Datos!T9+Datos!AH9))/(Datos!T9+Datos!AH9))
     ),IF(J_V="SI",(Datos!J9-Datos!T9)/Datos!T9,(Datos!J9+Datos!Z9-(Datos!T9+Datos!AH9))/(Datos!T9+Datos!AH9))," - ")</f>
        <v>-1.469152925463605E-2</v>
      </c>
      <c r="D9" s="455">
        <f>IF(ISNUMBER(
   IF(J_V="SI",(Datos!K9-Datos!U9)/Datos!U9,(Datos!K9+Datos!AA9-(Datos!U9+Datos!AI9))/(Datos!U9+Datos!AI9))
     ),IF(J_V="SI",(Datos!K9-Datos!U9)/Datos!U9,(Datos!K9+Datos!AA9-(Datos!U9+Datos!AI9))/(Datos!U9+Datos!AI9))," - ")</f>
        <v>5.9556036816459119E-3</v>
      </c>
      <c r="E9" s="455">
        <f>IF(ISNUMBER(
   IF(J_V="SI",(Datos!L9-Datos!V9)/Datos!V9,(Datos!L9+Datos!AB9-(Datos!V9+Datos!AJ9))/(Datos!V9+Datos!AJ9))
     ),IF(J_V="SI",(Datos!L9-Datos!V9)/Datos!V9,(Datos!L9+Datos!AB9-(Datos!V9+Datos!AJ9))/(Datos!V9+Datos!AJ9))," - ")</f>
        <v>-0.10450712416400117</v>
      </c>
      <c r="F9" s="455">
        <f>IF(ISNUMBER((Datos!M9-Datos!W9)/Datos!W9),(Datos!M9-Datos!W9)/Datos!W9," - ")</f>
        <v>1.2104043265516354E-2</v>
      </c>
      <c r="G9" s="456">
        <f>IF(ISNUMBER((Datos!N9-Datos!X9)/Datos!X9),(Datos!N9-Datos!X9)/Datos!X9," - ")</f>
        <v>0.11872716785233609</v>
      </c>
      <c r="H9" s="454">
        <f>IF(ISNUMBER(((NºAsuntos!G9/NºAsuntos!E9)-Datos!BD9)/Datos!BD9),((NºAsuntos!G9/NºAsuntos!E9)-Datos!BD9)/Datos!BD9," - ")</f>
        <v>2.0954993841332654E-2</v>
      </c>
      <c r="I9" s="455">
        <f>IF(ISNUMBER(((NºAsuntos!I9/NºAsuntos!G9)-Datos!BE9)/Datos!BE9),((NºAsuntos!I9/NºAsuntos!G9)-Datos!BE9)/Datos!BE9," - ")</f>
        <v>-0.10980875044720678</v>
      </c>
      <c r="J9" s="460">
        <f>IF(ISNUMBER((('Resol  Asuntos'!D9/NºAsuntos!G9)-Datos!BF9)/Datos!BF9),(('Resol  Asuntos'!D9/NºAsuntos!G9)-Datos!BF9)/Datos!BF9," - ")</f>
        <v>-0.62442481769983382</v>
      </c>
      <c r="K9" s="461">
        <f>IF(ISNUMBER((((NºAsuntos!C9+NºAsuntos!E9)/NºAsuntos!G9)-Datos!BG9)/Datos!BG9),(((NºAsuntos!C9+NºAsuntos!E9)/NºAsuntos!G9)-Datos!BG9)/Datos!BG9," - ")</f>
        <v>-3.7000225031855682E-2</v>
      </c>
    </row>
    <row r="10" spans="1:11" ht="21">
      <c r="A10" s="401" t="str">
        <f>Datos!A10</f>
        <v>Jdos. Violencia contra la mujer/Secc Viol. TI.</v>
      </c>
      <c r="B10" s="454">
        <f>IF(ISNUMBER((Datos!I10-Datos!S10)/Datos!S10),(Datos!I10-Datos!S10)/Datos!S10," - ")</f>
        <v>-0.20987654320987653</v>
      </c>
      <c r="C10" s="455">
        <f>IF(ISNUMBER((Datos!J10-Datos!T10)/Datos!T10),(Datos!J10-Datos!T10)/Datos!T10," - ")</f>
        <v>-0.1222707423580786</v>
      </c>
      <c r="D10" s="455">
        <f>IF(ISNUMBER((Datos!K10-Datos!U10)/Datos!U10),(Datos!K10-Datos!U10)/Datos!U10," - ")</f>
        <v>0.21978021978021978</v>
      </c>
      <c r="E10" s="455">
        <f>IF(ISNUMBER((Datos!L10-Datos!V10)/Datos!V10),(Datos!L10-Datos!V10)/Datos!V10," - ")</f>
        <v>-0.10416666666666667</v>
      </c>
      <c r="F10" s="455">
        <f>IF(ISNUMBER((Datos!M10-Datos!W10)/Datos!W10),(Datos!M10-Datos!W10)/Datos!W10," - ")</f>
        <v>0.20547945205479451</v>
      </c>
      <c r="G10" s="456">
        <f>IF(ISNUMBER((Datos!N10-Datos!X10)/Datos!X10),(Datos!N10-Datos!X10)/Datos!X10," - ")</f>
        <v>0.40540540540540543</v>
      </c>
      <c r="H10" s="454">
        <f>IF(ISNUMBER(((NºAsuntos!G10/NºAsuntos!E10)-Datos!BD10)/Datos!BD10),((NºAsuntos!G10/NºAsuntos!E10)-Datos!BD10)/Datos!BD10," - ")</f>
        <v>0.38969985238641969</v>
      </c>
      <c r="I10" s="455">
        <f>IF(ISNUMBER(((NºAsuntos!I10/NºAsuntos!G10)-Datos!BE10)/Datos!BE10),((NºAsuntos!I10/NºAsuntos!G10)-Datos!BE10)/Datos!BE10," - ")</f>
        <v>-0.26557807807807815</v>
      </c>
      <c r="J10" s="460">
        <f>IF(ISNUMBER((('Resol  Asuntos'!D10/NºAsuntos!G10)-Datos!BF10)/Datos!BF10),(('Resol  Asuntos'!D10/NºAsuntos!G10)-Datos!BF10)/Datos!BF10," - ")</f>
        <v>-1.1724052819943266E-2</v>
      </c>
      <c r="K10" s="461">
        <f>IF(ISNUMBER((((NºAsuntos!C10+NºAsuntos!E10)/NºAsuntos!G10)-Datos!BG10)/Datos!BG10),(((NºAsuntos!C10+NºAsuntos!E10)/NºAsuntos!G10)-Datos!BG10)/Datos!BG10," - ")</f>
        <v>-0.31739578561612469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-5.1238677289097458E-2</v>
      </c>
      <c r="C13" s="854">
        <f>IF(ISNUMBER(
   IF(J_V="SI",(Datos!J13-Datos!T13)/Datos!T13,(Datos!J13+Datos!Z13-(Datos!T13+Datos!AH13))/(Datos!T13+Datos!AH13))
     ),IF(J_V="SI",(Datos!J13-Datos!T13)/Datos!T13,(Datos!J13+Datos!Z13-(Datos!T13+Datos!AH13))/(Datos!T13+Datos!AH13))," - ")</f>
        <v>-1.5942323314378556E-2</v>
      </c>
      <c r="D13" s="854">
        <f>IF(ISNUMBER(
   IF(J_V="SI",(Datos!K13-Datos!U13)/Datos!U13,(Datos!K13+Datos!AA13-(Datos!U13+Datos!AI13))/(Datos!U13+Datos!AI13))
     ),IF(J_V="SI",(Datos!K13-Datos!U13)/Datos!U13,(Datos!K13+Datos!AA13-(Datos!U13+Datos!AI13))/(Datos!U13+Datos!AI13))," - ")</f>
        <v>7.8540416605688088E-3</v>
      </c>
      <c r="E13" s="854">
        <f>IF(ISNUMBER(
   IF(J_V="SI",(Datos!L13-Datos!V13)/Datos!V13,(Datos!L13+Datos!AB13-(Datos!V13+Datos!AJ13))/(Datos!V13+Datos!AJ13))
     ),IF(J_V="SI",(Datos!L13-Datos!V13)/Datos!V13,(Datos!L13+Datos!AB13-(Datos!V13+Datos!AJ13))/(Datos!V13+Datos!AJ13))," - ")</f>
        <v>-0.10450336458273422</v>
      </c>
      <c r="F13" s="855">
        <f>IF(ISNUMBER((Datos!M13-Datos!W13)/Datos!W13),(Datos!M13-Datos!W13)/Datos!W13," - ")</f>
        <v>1.5672396359959553E-2</v>
      </c>
      <c r="G13" s="856">
        <f>IF(ISNUMBER((Datos!N13-Datos!X13)/Datos!X13),(Datos!N13-Datos!X13)/Datos!X13," - ")</f>
        <v>0.12075219549446353</v>
      </c>
      <c r="H13" s="856">
        <f>IF(ISNUMBER(((NºAsuntos!G13/NºAsuntos!E13)-Datos!BD13)/Datos!BD13),((NºAsuntos!G13/NºAsuntos!E13)-Datos!BD13)/Datos!BD13," - ")</f>
        <v>2.4181880329509953E-2</v>
      </c>
      <c r="I13" s="856">
        <f>IF(ISNUMBER(((NºAsuntos!I13/NºAsuntos!G13)-Datos!BE13)/Datos!BE13),((NºAsuntos!I13/NºAsuntos!G13)-Datos!BE13)/Datos!BE13," - ")</f>
        <v>-0.11148182335825112</v>
      </c>
      <c r="J13" s="856">
        <f>IF(ISNUMBER((('Resol  Asuntos'!D13/NºAsuntos!G13)-Datos!BF13)/Datos!BF13),(('Resol  Asuntos'!D13/NºAsuntos!G13)-Datos!BF13)/Datos!BF13," - ")</f>
        <v>-0.61940922354659012</v>
      </c>
      <c r="K13" s="856">
        <f>IF(ISNUMBER((((NºAsuntos!C13+NºAsuntos!E13)/NºAsuntos!G13)-Datos!BG13)/Datos!BG13),(((NºAsuntos!C13+NºAsuntos!E13)/NºAsuntos!G13)-Datos!BG13)/Datos!BG13," - ")</f>
        <v>-4.0490631780255817E-2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0.15168243953732913</v>
      </c>
      <c r="C15" s="455">
        <f>IF(ISNUMBER(
   IF(D_I="SI",(Datos!J15-Datos!T15)/Datos!T15,(Datos!J15+Datos!AD15-(Datos!T15+Datos!AL15))/(Datos!T15+Datos!AL15))
     ),IF(D_I="SI",(Datos!J15-Datos!T15)/Datos!T15,(Datos!J15+Datos!AD15-(Datos!T15+Datos!AL15))/(Datos!T15+Datos!AL15))," - ")</f>
        <v>1.6307726059453728E-2</v>
      </c>
      <c r="D15" s="455">
        <f>IF(ISNUMBER(
   IF(D_I="SI",(Datos!K15-Datos!U15)/Datos!U15,(Datos!K15+Datos!AE15-(Datos!U15+Datos!AM15))/(Datos!U15+Datos!AM15))
     ),IF(D_I="SI",(Datos!K15-Datos!U15)/Datos!U15,(Datos!K15+Datos!AE15-(Datos!U15+Datos!AM15))/(Datos!U15+Datos!AM15))," - ")</f>
        <v>-3.63414092020449E-2</v>
      </c>
      <c r="E15" s="455">
        <f>IF(ISNUMBER(
   IF(D_I="SI",(Datos!L15-Datos!V15)/Datos!V15,(Datos!L15+Datos!AF15-(Datos!V15+Datos!AN15))/(Datos!V15+Datos!AN15))
     ),IF(D_I="SI",(Datos!L15-Datos!V15)/Datos!V15,(Datos!L15+Datos!AF15-(Datos!V15+Datos!AN15))/(Datos!V15+Datos!AN15))," - ")</f>
        <v>0.4348322300844556</v>
      </c>
      <c r="F15" s="455">
        <f>IF(ISNUMBER((Datos!M15-Datos!W15)/Datos!W15),(Datos!M15-Datos!W15)/Datos!W15," - ")</f>
        <v>-2.3415191319246145E-2</v>
      </c>
      <c r="G15" s="456">
        <f>IF(ISNUMBER((Datos!N15-Datos!X15)/Datos!X15),(Datos!N15-Datos!X15)/Datos!X15," - ")</f>
        <v>-5.7809867629362216E-2</v>
      </c>
      <c r="H15" s="454">
        <f>IF(ISNUMBER(((NºAsuntos!G15/NºAsuntos!E15)-Datos!BD15)/Datos!BD15),((NºAsuntos!G15/NºAsuntos!E15)-Datos!BD15)/Datos!BD15," - ")</f>
        <v>-5.1804324528394605E-2</v>
      </c>
      <c r="I15" s="455">
        <f>IF(ISNUMBER(((NºAsuntos!I15/NºAsuntos!G15)-Datos!BE15)/Datos!BE15),((NºAsuntos!I15/NºAsuntos!G15)-Datos!BE15)/Datos!BE15," - ")</f>
        <v>0.48894249870833029</v>
      </c>
      <c r="J15" s="460">
        <f>IF(ISNUMBER((('Resol  Asuntos'!D15/NºAsuntos!G15)-Datos!BF15)/Datos!BF15),(('Resol  Asuntos'!D15/NºAsuntos!G15)-Datos!BF15)/Datos!BF15," - ")</f>
        <v>1.341369029055753E-2</v>
      </c>
      <c r="K15" s="461">
        <f>IF(ISNUMBER((((NºAsuntos!C15+NºAsuntos!E15)/NºAsuntos!G15)-Datos!BG15)/Datos!BG15),(((NºAsuntos!C15+NºAsuntos!E15)/NºAsuntos!G15)-Datos!BG15)/Datos!BG15," - ")</f>
        <v>7.1788223333498491E-2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-0.20531400966183574</v>
      </c>
      <c r="C17" s="455">
        <f>IF(ISNUMBER(
   IF(D_I="SI",(Datos!J17-Datos!T17)/Datos!T17,(Datos!J17+Datos!AD17-(Datos!T17+Datos!AL17))/(Datos!T17+Datos!AL17))
     ),IF(D_I="SI",(Datos!J17-Datos!T17)/Datos!T17,(Datos!J17+Datos!AD17-(Datos!T17+Datos!AL17))/(Datos!T17+Datos!AL17))," - ")</f>
        <v>5.9701492537313432E-2</v>
      </c>
      <c r="D17" s="455">
        <f>IF(ISNUMBER(
   IF(D_I="SI",(Datos!K17-Datos!U17)/Datos!U17,(Datos!K17+Datos!AE17-(Datos!U17+Datos!AM17))/(Datos!U17+Datos!AM17))
     ),IF(D_I="SI",(Datos!K17-Datos!U17)/Datos!U17,(Datos!K17+Datos!AE17-(Datos!U17+Datos!AM17))/(Datos!U17+Datos!AM17))," - ")</f>
        <v>5.6566650270536152E-2</v>
      </c>
      <c r="E17" s="455">
        <f>IF(ISNUMBER(
   IF(D_I="SI",(Datos!L17-Datos!V17)/Datos!V17,(Datos!L17+Datos!AF17-(Datos!V17+Datos!AN17))/(Datos!V17+Datos!AN17))
     ),IF(D_I="SI",(Datos!L17-Datos!V17)/Datos!V17,(Datos!L17+Datos!AF17-(Datos!V17+Datos!AN17))/(Datos!V17+Datos!AN17))," - ")</f>
        <v>-3.3434650455927049E-2</v>
      </c>
      <c r="F17" s="455">
        <f>IF(ISNUMBER((Datos!M17-Datos!W17)/Datos!W17),(Datos!M17-Datos!W17)/Datos!W17," - ")</f>
        <v>0.38532110091743121</v>
      </c>
      <c r="G17" s="456">
        <f>IF(ISNUMBER((Datos!N17-Datos!X17)/Datos!X17),(Datos!N17-Datos!X17)/Datos!X17," - ")</f>
        <v>0.4268456375838926</v>
      </c>
      <c r="H17" s="454">
        <f>IF(ISNUMBER(((NºAsuntos!G17/NºAsuntos!E17)-Datos!BD17)/Datos!BD17),((NºAsuntos!G17/NºAsuntos!E17)-Datos!BD17)/Datos!BD17," - ")</f>
        <v>-2.9582314348462015E-3</v>
      </c>
      <c r="I17" s="455">
        <f>IF(ISNUMBER(((NºAsuntos!I17/NºAsuntos!G17)-Datos!BE17)/Datos!BE17),((NºAsuntos!I17/NºAsuntos!G17)-Datos!BE17)/Datos!BE17," - ")</f>
        <v>-8.5182795333752198E-2</v>
      </c>
      <c r="J17" s="460">
        <f>IF(ISNUMBER((('Resol  Asuntos'!D17/NºAsuntos!G17)-Datos!BF17)/Datos!BF17),(('Resol  Asuntos'!D17/NºAsuntos!G17)-Datos!BF17)/Datos!BF17," - ")</f>
        <v>0.3111535373208274</v>
      </c>
      <c r="K17" s="461">
        <f>IF(ISNUMBER((((NºAsuntos!C17+NºAsuntos!E17)/NºAsuntos!G17)-Datos!BG17)/Datos!BG17),(((NºAsuntos!C17+NºAsuntos!E17)/NºAsuntos!G17)-Datos!BG17)/Datos!BG17," - ")</f>
        <v>-7.0212978164128095E-2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8.7867012089810015E-2</v>
      </c>
      <c r="C18" s="854">
        <f>IF(ISNUMBER(
   IF(Criterios!B14="SI",(Datos!J18-Datos!T18)/Datos!T18,(Datos!J18+Datos!AD18-(Datos!T18+Datos!AL18))/(Datos!T18+Datos!AL18))
     ),IF(Criterios!B14="SI",(Datos!J18-Datos!T18)/Datos!T18,(Datos!J18+Datos!AD18-(Datos!T18+Datos!AL18))/(Datos!T18+Datos!AL18))," - ")</f>
        <v>1.9278585782894514E-2</v>
      </c>
      <c r="D18" s="854">
        <f>IF(ISNUMBER(
   IF(Criterios!B14="SI",(Datos!K18-Datos!U18)/Datos!U18,(Datos!K18+Datos!AE18-(Datos!U18+Datos!AM18))/(Datos!U18+Datos!AM18))
     ),IF(Criterios!B14="SI",(Datos!K18-Datos!U18)/Datos!U18,(Datos!K18+Datos!AE18-(Datos!U18+Datos!AM18))/(Datos!U18+Datos!AM18))," - ")</f>
        <v>-2.9834292210700383E-2</v>
      </c>
      <c r="E18" s="854">
        <f>IF(ISNUMBER(
   IF(Criterios!B14="SI",(Datos!L18-Datos!V18)/Datos!V18,(Datos!L18+Datos!AF18-(Datos!V18+Datos!AN18))/(Datos!V18+Datos!AN18))
     ),IF(Criterios!B14="SI",(Datos!L18-Datos!V18)/Datos!V18,(Datos!L18+Datos!AF18-(Datos!V18+Datos!AN18))/(Datos!V18+Datos!AN18))," - ")</f>
        <v>0.37368525501091487</v>
      </c>
      <c r="F18" s="855">
        <f>IF(ISNUMBER((Datos!M18-Datos!W18)/Datos!W18),(Datos!M18-Datos!W18)/Datos!W18," - ")</f>
        <v>5.3763440860215054E-4</v>
      </c>
      <c r="G18" s="856">
        <f>IF(ISNUMBER((Datos!N18-Datos!X18)/Datos!X18),(Datos!N18-Datos!X18)/Datos!X18," - ")</f>
        <v>-4.103159851301115E-2</v>
      </c>
      <c r="H18" s="856">
        <f>IF(ISNUMBER(((NºAsuntos!G18/NºAsuntos!E18)-Datos!BD18)/Datos!BD18),((NºAsuntos!G18/NºAsuntos!E18)-Datos!BD18)/Datos!BD18," - ")</f>
        <v>-4.8183959398962535E-2</v>
      </c>
      <c r="I18" s="856">
        <f>IF(ISNUMBER(((NºAsuntos!I18/NºAsuntos!G18)-Datos!BE18)/Datos!BE18),((NºAsuntos!I18/NºAsuntos!G18)-Datos!BE18)/Datos!BE18," - ")</f>
        <v>0.41592847900294116</v>
      </c>
      <c r="J18" s="856">
        <f>IF(ISNUMBER((('Resol  Asuntos'!D18/NºAsuntos!G18)-Datos!BF18)/Datos!BF18),(('Resol  Asuntos'!D18/NºAsuntos!G18)-Datos!BF18)/Datos!BF18," - ")</f>
        <v>3.1305916479474998E-2</v>
      </c>
      <c r="K18" s="856">
        <f>IF(ISNUMBER((((NºAsuntos!C18+NºAsuntos!E18)/NºAsuntos!G18)-Datos!BG18)/Datos!BG18),(((NºAsuntos!C18+NºAsuntos!E18)/NºAsuntos!G18)-Datos!BG18)/Datos!BG18," - ")</f>
        <v>6.0257248906474721E-2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-2.3172750239567906E-2</v>
      </c>
      <c r="C19" s="801">
        <f>IF(ISNUMBER(
   IF(J_V="SI",(Datos!J19-Datos!T19)/Datos!T19,(Datos!J19+Datos!Z19-(Datos!T19+Datos!AH19))/(Datos!T19+Datos!AH19))
     ),IF(J_V="SI",(Datos!J19-Datos!T19)/Datos!T19,(Datos!J19+Datos!Z19-(Datos!T19+Datos!AH19))/(Datos!T19+Datos!AH19))," - ")</f>
        <v>5.1370910202833556E-3</v>
      </c>
      <c r="D19" s="801">
        <f>IF(ISNUMBER(
   IF(J_V="SI",(Datos!K19-Datos!U19)/Datos!U19,(Datos!K19+Datos!AA19-(Datos!U19+Datos!AI19))/(Datos!U19+Datos!AI19))
     ),IF(J_V="SI",(Datos!K19-Datos!U19)/Datos!U19,(Datos!K19+Datos!AA19-(Datos!U19+Datos!AI19))/(Datos!U19+Datos!AI19))," - ")</f>
        <v>-1.4234947300407867E-2</v>
      </c>
      <c r="E19" s="801">
        <f>IF(ISNUMBER(
   IF(J_V="SI",(Datos!L19-Datos!V19)/Datos!V19,(Datos!L19+Datos!AB19-(Datos!V19+Datos!AJ19))/(Datos!V19+Datos!AJ19))
     ),IF(J_V="SI",(Datos!L19-Datos!V19)/Datos!V19,(Datos!L19+Datos!AB19-(Datos!V19+Datos!AJ19))/(Datos!V19+Datos!AJ19))," - ")</f>
        <v>2.943012574690092E-3</v>
      </c>
      <c r="F19" s="802">
        <f>IF(ISNUMBER((Datos!M19-Datos!W19)/Datos!W19),(Datos!M19-Datos!W19)/Datos!W19," - ")</f>
        <v>1.0832187070151307E-2</v>
      </c>
      <c r="G19" s="803">
        <f>IF(ISNUMBER((Datos!N19-Datos!X19)/Datos!X19),(Datos!N19-Datos!X19)/Datos!X19," - ")</f>
        <v>1.1938992374046756E-2</v>
      </c>
      <c r="H19" s="804">
        <f>IF(ISNUMBER((Tasas!B19-Datos!BD19)/Datos!BD19),(Tasas!B19-Datos!BD19)/Datos!BD19," - ")</f>
        <v>-1.9273031006175775E-2</v>
      </c>
      <c r="I19" s="805">
        <f>IF(ISNUMBER((Tasas!C19-Datos!BE19)/Datos!BE19),(Tasas!C19-Datos!BE19)/Datos!BE19," - ")</f>
        <v>1.7426018327647889E-2</v>
      </c>
      <c r="J19" s="806">
        <f>IF(ISNUMBER((Tasas!D19-Datos!BF19)/Datos!BF19),(Tasas!D19-Datos!BF19)/Datos!BF19," - ")</f>
        <v>-0.51650622281421865</v>
      </c>
      <c r="K19" s="806">
        <f>IF(ISNUMBER((Tasas!E19-Datos!BG19)/Datos!BG19),(Tasas!E19-Datos!BG19)/Datos!BG19," - ")</f>
        <v>1.0496172913536887E-2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VjsSVP7GWF/iCnqPvoO+VWcloiZgDNacEM8blXZkNWuquMqILM2VYcs1+3YB2O9kA+UiTIpRmM/yOldrTh5Cw==" saltValue="OglFxHmF5jgPtet+YSzE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HOSPITALET DE LLOBREGAT, L'</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1.0655336009592826</v>
      </c>
      <c r="C9" s="442">
        <f>IF(ISNUMBER(NºAsuntos!I9/NºAsuntos!G9),NºAsuntos!I9/NºAsuntos!G9," - ")</f>
        <v>0.7534005284274391</v>
      </c>
      <c r="D9" s="443">
        <f>IF(ISNUMBER('Resol  Asuntos'!D9/NºAsuntos!G9),'Resol  Asuntos'!D9/NºAsuntos!G9," - ")</f>
        <v>0.19228887366669928</v>
      </c>
      <c r="E9" s="444">
        <f>IF(ISNUMBER((NºAsuntos!C9+NºAsuntos!E9)/NºAsuntos!G9),(NºAsuntos!C9+NºAsuntos!E9)/NºAsuntos!G9," - ")</f>
        <v>1.779821900381642</v>
      </c>
      <c r="G9" s="462"/>
    </row>
    <row r="10" spans="1:7" ht="21">
      <c r="A10" s="401" t="str">
        <f>Datos!A10</f>
        <v>Jdos. Violencia contra la mujer/Secc Viol. TI.</v>
      </c>
      <c r="B10" s="441">
        <f>IF(ISNUMBER(NºAsuntos!G10/NºAsuntos!E10),NºAsuntos!G10/NºAsuntos!E10," - ")</f>
        <v>1.1044776119402986</v>
      </c>
      <c r="C10" s="442">
        <f>IF(ISNUMBER(NºAsuntos!I10/NºAsuntos!G10),NºAsuntos!I10/NºAsuntos!G10," - ")</f>
        <v>0.77477477477477474</v>
      </c>
      <c r="D10" s="443">
        <f>IF(ISNUMBER('Resol  Asuntos'!D10/NºAsuntos!G10),'Resol  Asuntos'!D10/NºAsuntos!G10," - ")</f>
        <v>0.3963963963963964</v>
      </c>
      <c r="E10" s="444">
        <f>IF(ISNUMBER((NºAsuntos!C10+NºAsuntos!E10)/NºAsuntos!G10),(NºAsuntos!C10+NºAsuntos!E10)/NºAsuntos!G10," - ")</f>
        <v>1.7702702702702702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1.0659374677535858</v>
      </c>
      <c r="C13" s="858">
        <f>IF(ISNUMBER(NºAsuntos!I13/NºAsuntos!G13),NºAsuntos!I13/NºAsuntos!G13," - ")</f>
        <v>0.7536302032913843</v>
      </c>
      <c r="D13" s="859">
        <f>IF(ISNUMBER('Resol  Asuntos'!D13/NºAsuntos!G13),'Resol  Asuntos'!D13/NºAsuntos!G13," - ")</f>
        <v>0.19448209099709585</v>
      </c>
      <c r="E13" s="860">
        <f>IF(ISNUMBER((NºAsuntos!C13+NºAsuntos!E13)/NºAsuntos!G13),(NºAsuntos!C13+NºAsuntos!E13)/NºAsuntos!G13," - ")</f>
        <v>1.7797192642787996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0.9358877495952509</v>
      </c>
      <c r="C15" s="442">
        <f>IF(ISNUMBER(NºAsuntos!I15/NºAsuntos!G15),NºAsuntos!I15/NºAsuntos!G15," - ")</f>
        <v>0.2416484065659478</v>
      </c>
      <c r="D15" s="443">
        <f>IF(ISNUMBER('Resol  Asuntos'!D15/NºAsuntos!G15),'Resol  Asuntos'!D15/NºAsuntos!G15," - ")</f>
        <v>6.5736362587936803E-2</v>
      </c>
      <c r="E15" s="444">
        <f>IF(ISNUMBER((NºAsuntos!C15+NºAsuntos!E15)/NºAsuntos!G15),(NºAsuntos!C15+NºAsuntos!E15)/NºAsuntos!G15," - ")</f>
        <v>1.2369200015376927</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1.0084507042253521</v>
      </c>
      <c r="C17" s="442">
        <f>IF(ISNUMBER(NºAsuntos!I17/NºAsuntos!G17),NºAsuntos!I17/NºAsuntos!G17," - ")</f>
        <v>0.29608938547486036</v>
      </c>
      <c r="D17" s="443">
        <f>IF(ISNUMBER('Resol  Asuntos'!D17/NºAsuntos!G17),'Resol  Asuntos'!D17/NºAsuntos!G17," - ")</f>
        <v>7.0297951582867779E-2</v>
      </c>
      <c r="E17" s="444">
        <f>IF(ISNUMBER((NºAsuntos!C17+NºAsuntos!E17)/NºAsuntos!G17),(NºAsuntos!C17+NºAsuntos!E17)/NºAsuntos!G17," - ")</f>
        <v>1.2979515828677839</v>
      </c>
      <c r="G17" s="462"/>
    </row>
    <row r="18" spans="1:7" ht="14.25" thickTop="1" thickBot="1">
      <c r="A18" s="847" t="str">
        <f>Datos!A18</f>
        <v>TOTAL</v>
      </c>
      <c r="B18" s="857">
        <f>IF(ISNUMBER(NºAsuntos!G18/NºAsuntos!E18),NºAsuntos!G18/NºAsuntos!E18," - ")</f>
        <v>0.94105263157894736</v>
      </c>
      <c r="C18" s="858">
        <f>IF(ISNUMBER(NºAsuntos!I18/NºAsuntos!G18),NºAsuntos!I18/NºAsuntos!G18," - ")</f>
        <v>0.24580093036468875</v>
      </c>
      <c r="D18" s="861">
        <f>IF(ISNUMBER('Resol  Asuntos'!D18/NºAsuntos!G18),'Resol  Asuntos'!D18/NºAsuntos!G18," - ")</f>
        <v>6.6084300983629843E-2</v>
      </c>
      <c r="E18" s="860">
        <f>IF(ISNUMBER((NºAsuntos!C18+NºAsuntos!E18)/NºAsuntos!G18),(NºAsuntos!C18+NºAsuntos!E18)/NºAsuntos!G18," - ")</f>
        <v>1.2415752281524093</v>
      </c>
      <c r="G18" s="462"/>
    </row>
    <row r="19" spans="1:7" ht="15.75" customHeight="1" thickTop="1" thickBot="1">
      <c r="A19" s="792" t="str">
        <f>Datos!A19</f>
        <v>TOTAL JURISDICCIONES</v>
      </c>
      <c r="B19" s="807">
        <f>IF(ISNUMBER(NºAsuntos!G19/NºAsuntos!E19),NºAsuntos!G19/NºAsuntos!E19," - ")</f>
        <v>0.99014338734865237</v>
      </c>
      <c r="C19" s="808">
        <f>IF(ISNUMBER(NºAsuntos!I19/NºAsuntos!G19),NºAsuntos!I19/NºAsuntos!G19," - ")</f>
        <v>0.46070338583806147</v>
      </c>
      <c r="D19" s="809">
        <f>IF(ISNUMBER('Resol  Asuntos'!D19/NºAsuntos!G19),'Resol  Asuntos'!D19/NºAsuntos!G19," - ")</f>
        <v>0.12041949161221606</v>
      </c>
      <c r="E19" s="810">
        <f>IF(ISNUMBER((NºAsuntos!C19+NºAsuntos!E19)/NºAsuntos!G19),(NºAsuntos!C19+NºAsuntos!E19)/NºAsuntos!G19," - ")</f>
        <v>1.469306241166711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5Rj40fBcEp2o+BXPZRzlBfwdqijvtHL85rLsEhRfGa9zDgGhd0CxdGJxI8nMwTzlZqvW0ZmXj4zmH2fNPMG0Q==" saltValue="OXRMRS6/XgmsxmrmyOPH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HOSPITALET DE LLOBREGAT, 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9</v>
      </c>
      <c r="B9" s="176" t="s">
        <v>246</v>
      </c>
      <c r="C9" s="159" t="str">
        <f>Datos!A9</f>
        <v xml:space="preserve">Jdos. 1ª Instancia   </v>
      </c>
      <c r="D9" s="159"/>
      <c r="E9" s="1024">
        <f>IF(ISNUMBER(Datos!AQ9),Datos!AQ9," - ")</f>
        <v>9</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5644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7286</v>
      </c>
      <c r="Y9" s="333">
        <f>SUM(W9:X9)</f>
        <v>7286</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15381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3930</v>
      </c>
      <c r="AJ9" s="228" t="str">
        <f>IF(ISNUMBER(Datos!BW9),Datos!BW9," - ")</f>
        <v xml:space="preserve"> - </v>
      </c>
      <c r="AK9" s="227" t="str">
        <f>IF(ISNUMBER(Datos!BX9),Datos!BX9," - ")</f>
        <v xml:space="preserve"> - </v>
      </c>
      <c r="AL9" s="242">
        <f>IF(ISNUMBER(NºAsuntos!G9/NºAsuntos!E9),NºAsuntos!G9/NºAsuntos!E9," - ")</f>
        <v>1.0655336009592826</v>
      </c>
      <c r="AM9" s="259">
        <f>IF(ISNUMBER(((NºAsuntos!I9/NºAsuntos!G9)*11)/factor_trimestre),((NºAsuntos!I9/NºAsuntos!G9)*11)/factor_trimestre," - ")</f>
        <v>8.2874058127018309</v>
      </c>
      <c r="AN9" s="243">
        <f>IF(ISNUMBER('Resol  Asuntos'!D9/NºAsuntos!G9),'Resol  Asuntos'!D9/NºAsuntos!G9," - ")</f>
        <v>0.19228887366669928</v>
      </c>
      <c r="AO9" s="244">
        <f>IF(ISNUMBER((NºAsuntos!C9+NºAsuntos!E9)/NºAsuntos!G9),(NºAsuntos!C9+NºAsuntos!E9)/NºAsuntos!G9," - ")</f>
        <v>1.779821900381642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193</v>
      </c>
      <c r="G10" s="332">
        <f>IF(ISNUMBER(Datos!I10),Datos!I10," - ")</f>
        <v>192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222</v>
      </c>
      <c r="X10" s="225">
        <f>IF(ISNUMBER(Datos!Q10),Datos!Q10," - ")</f>
        <v>20</v>
      </c>
      <c r="Y10" s="333">
        <f t="shared" ref="Y10:Y12" si="0">SUM(W10:X10)</f>
        <v>242</v>
      </c>
      <c r="Z10" s="334" t="str">
        <f>IF(ISNUMBER(Datos!CC10),Datos!CC10," - ")</f>
        <v xml:space="preserve"> - </v>
      </c>
      <c r="AA10" s="331">
        <f>IF(ISNUMBER(Datos!L10),Datos!L10,"-")</f>
        <v>172</v>
      </c>
      <c r="AB10" s="333">
        <f>IF(ISNUMBER(Datos!R10),Datos!R10," - ")</f>
        <v>151</v>
      </c>
      <c r="AC10" s="333">
        <f t="shared" ref="AC10:AC12" si="1">IF(ISNUMBER(AA10+AB10),AA10+AB10," - ")</f>
        <v>323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88</v>
      </c>
      <c r="AJ10" s="230" t="str">
        <f>IF(ISNUMBER(Datos!BW10),Datos!BW10," - ")</f>
        <v xml:space="preserve"> - </v>
      </c>
      <c r="AK10" s="231" t="str">
        <f>IF(ISNUMBER(Datos!BX10),Datos!BX10," - ")</f>
        <v xml:space="preserve"> - </v>
      </c>
      <c r="AL10" s="242">
        <f>IF(ISNUMBER(NºAsuntos!G10/NºAsuntos!E10),NºAsuntos!G10/NºAsuntos!E10," - ")</f>
        <v>1.1044776119402986</v>
      </c>
      <c r="AM10" s="259">
        <f>IF(ISNUMBER(((NºAsuntos!I10/NºAsuntos!G10)*11)/factor_trimestre),((NºAsuntos!I10/NºAsuntos!G10)*11)/factor_trimestre," - ")</f>
        <v>8.5225225225225216</v>
      </c>
      <c r="AN10" s="243">
        <f>IF(ISNUMBER('Resol  Asuntos'!D10/NºAsuntos!G10),'Resol  Asuntos'!D10/NºAsuntos!G10," - ")</f>
        <v>0.3963963963963964</v>
      </c>
      <c r="AO10" s="244">
        <f>IF(ISNUMBER((NºAsuntos!C10+NºAsuntos!E10)/NºAsuntos!G10),(NºAsuntos!C10+NºAsuntos!E10)/NºAsuntos!G10," - ")</f>
        <v>1.7702702702702702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11</v>
      </c>
      <c r="F13" s="864">
        <f t="shared" si="3"/>
        <v>193</v>
      </c>
      <c r="G13" s="865">
        <f t="shared" si="3"/>
        <v>192</v>
      </c>
      <c r="H13" s="864">
        <f t="shared" si="3"/>
        <v>0</v>
      </c>
      <c r="I13" s="866">
        <f t="shared" si="3"/>
        <v>0</v>
      </c>
      <c r="J13" s="866">
        <f t="shared" si="3"/>
        <v>0</v>
      </c>
      <c r="K13" s="866">
        <f t="shared" si="3"/>
        <v>0</v>
      </c>
      <c r="L13" s="866">
        <f t="shared" si="3"/>
        <v>5676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222</v>
      </c>
      <c r="X13" s="866">
        <f t="shared" si="4"/>
        <v>7306</v>
      </c>
      <c r="Y13" s="867">
        <f t="shared" si="4"/>
        <v>7528</v>
      </c>
      <c r="Z13" s="867">
        <f t="shared" si="4"/>
        <v>0</v>
      </c>
      <c r="AA13" s="867">
        <f t="shared" si="4"/>
        <v>172</v>
      </c>
      <c r="AB13" s="867">
        <f t="shared" si="4"/>
        <v>15532</v>
      </c>
      <c r="AC13" s="867">
        <f t="shared" si="4"/>
        <v>323</v>
      </c>
      <c r="AD13" s="867">
        <f t="shared" si="4"/>
        <v>0</v>
      </c>
      <c r="AE13" s="871">
        <f t="shared" si="4"/>
        <v>0</v>
      </c>
      <c r="AF13" s="864">
        <f t="shared" si="4"/>
        <v>0</v>
      </c>
      <c r="AG13" s="872">
        <f t="shared" si="4"/>
        <v>0</v>
      </c>
      <c r="AH13" s="869">
        <f t="shared" si="4"/>
        <v>0</v>
      </c>
      <c r="AI13" s="864">
        <f t="shared" si="4"/>
        <v>4018</v>
      </c>
      <c r="AJ13" s="866">
        <f t="shared" si="4"/>
        <v>0</v>
      </c>
      <c r="AK13" s="869">
        <f>SUBTOTAL(9,AK9:AK12)</f>
        <v>0</v>
      </c>
      <c r="AL13" s="873">
        <f>IF(ISNUMBER(NºAsuntos!G13/NºAsuntos!E13),NºAsuntos!G13/NºAsuntos!E13," - ")</f>
        <v>1.0659374677535858</v>
      </c>
      <c r="AM13" s="873">
        <f>IF(ISNUMBER(((NºAsuntos!I13/NºAsuntos!G13)*11)/factor_trimestre),((NºAsuntos!I13/NºAsuntos!G13)*11)/factor_trimestre," - ")</f>
        <v>8.2899322362052281</v>
      </c>
      <c r="AN13" s="874">
        <f>IF(ISNUMBER('Resol  Asuntos'!D13/NºAsuntos!G13),'Resol  Asuntos'!D13/NºAsuntos!G13," - ")</f>
        <v>0.19448209099709585</v>
      </c>
      <c r="AO13" s="875">
        <f>IF(ISNUMBER((NºAsuntos!C13+NºAsuntos!E13)/NºAsuntos!G13),(NºAsuntos!C13+NºAsuntos!E13)/NºAsuntos!G13," - ")</f>
        <v>1.7797192642787996</v>
      </c>
      <c r="AP13" s="876" t="str">
        <f t="shared" si="2"/>
        <v xml:space="preserve"> - </v>
      </c>
      <c r="AQ13" s="876">
        <f>IF(ISNUMBER((H13-W13+K13)/(F13)),(H13-W13+K13)/(F13)," - ")</f>
        <v>-1.150259067357513</v>
      </c>
      <c r="AR13" s="877">
        <f>IF(ISNUMBER((Datos!P13-Datos!Q13)/(Datos!R13-Datos!P13+Datos!Q13)),(Datos!P13-Datos!Q13)/(Datos!R13-Datos!P13+Datos!Q13)," - ")</f>
        <v>-9.4977275375830325E-2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4504</v>
      </c>
      <c r="G15" s="332">
        <f>IF(ISNUMBER(IF(D_I="SI",Datos!I15,Datos!I15+Datos!AC15)),IF(D_I="SI",Datos!I15,Datos!I15+Datos!AC15)," - ")</f>
        <v>4381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696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26013</v>
      </c>
      <c r="X15" s="225">
        <f>IF(ISNUMBER(Datos!Q15),Datos!Q15," - ")</f>
        <v>687</v>
      </c>
      <c r="Y15" s="333">
        <f>SUM(W15)</f>
        <v>26013</v>
      </c>
      <c r="Z15" s="334" t="str">
        <f>IF(ISNUMBER(Datos!CC15),Datos!CC15," - ")</f>
        <v xml:space="preserve"> - </v>
      </c>
      <c r="AA15" s="331">
        <f>IF(ISNUMBER(IF(D_I="SI",Datos!L15,Datos!L15+Datos!AF15)),IF(D_I="SI",Datos!L15,Datos!L15+Datos!AF15)," - ")</f>
        <v>6286</v>
      </c>
      <c r="AB15" s="333">
        <f>IF(ISNUMBER(Datos!R15),Datos!R15," - ")</f>
        <v>561</v>
      </c>
      <c r="AC15" s="333">
        <f t="shared" ref="AC15:AC17" si="6">IF(ISNUMBER(AA15+AB15),AA15+AB15," - ")</f>
        <v>6847</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1710</v>
      </c>
      <c r="AJ15" s="230" t="str">
        <f>IF(ISNUMBER(Datos!BW15),Datos!BW15," - ")</f>
        <v xml:space="preserve"> - </v>
      </c>
      <c r="AK15" s="231" t="str">
        <f>IF(ISNUMBER(Datos!BX15),Datos!BX15," - ")</f>
        <v xml:space="preserve"> - </v>
      </c>
      <c r="AL15" s="242">
        <f>IF(ISNUMBER(NºAsuntos!G15/NºAsuntos!E15),NºAsuntos!G15/NºAsuntos!E15," - ")</f>
        <v>0.9358877495952509</v>
      </c>
      <c r="AM15" s="259">
        <f>IF(ISNUMBER(((NºAsuntos!I15/NºAsuntos!G15)*11)/factor_trimestre),((NºAsuntos!I15/NºAsuntos!G15)*11)/factor_trimestre," - ")</f>
        <v>2.6581324722254256</v>
      </c>
      <c r="AN15" s="243">
        <f>IF(ISNUMBER('Resol  Asuntos'!D15/NºAsuntos!G15),'Resol  Asuntos'!D15/NºAsuntos!G15," - ")</f>
        <v>6.5736362587936803E-2</v>
      </c>
      <c r="AO15" s="244">
        <f>IF(ISNUMBER((NºAsuntos!C15+NºAsuntos!E15)/NºAsuntos!G15),(NºAsuntos!C15+NºAsuntos!E15)/NºAsuntos!G15," - ")</f>
        <v>1.2369200015376927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658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2148</v>
      </c>
      <c r="X17" s="225">
        <f>IF(ISNUMBER(Datos!Q17),Datos!Q17," - ")</f>
        <v>0</v>
      </c>
      <c r="Y17" s="333">
        <f t="shared" si="7"/>
        <v>2148</v>
      </c>
      <c r="Z17" s="334" t="str">
        <f>IF(ISNUMBER(Datos!CC17),Datos!CC17," - ")</f>
        <v xml:space="preserve"> - </v>
      </c>
      <c r="AA17" s="331">
        <f>IF(ISNUMBER(Datos!L17),Datos!L17,"-")</f>
        <v>636</v>
      </c>
      <c r="AB17" s="333">
        <f>IF(ISNUMBER(Datos!R17),Datos!R17," - ")</f>
        <v>0</v>
      </c>
      <c r="AC17" s="333">
        <f t="shared" si="6"/>
        <v>636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151</v>
      </c>
      <c r="AJ17" s="230" t="str">
        <f>IF(ISNUMBER(Datos!BW17),Datos!BW17," - ")</f>
        <v xml:space="preserve"> - </v>
      </c>
      <c r="AK17" s="231" t="str">
        <f>IF(ISNUMBER(Datos!BX17),Datos!BX17," - ")</f>
        <v xml:space="preserve"> - </v>
      </c>
      <c r="AL17" s="242">
        <f>IF(ISNUMBER(NºAsuntos!G17/NºAsuntos!E17),NºAsuntos!G17/NºAsuntos!E17," - ")</f>
        <v>1.0084507042253521</v>
      </c>
      <c r="AM17" s="259">
        <f>IF(ISNUMBER(((NºAsuntos!I17/NºAsuntos!G17)*11)/factor_trimestre),((NºAsuntos!I17/NºAsuntos!G17)*11)/factor_trimestre," - ")</f>
        <v>3.2569832402234637</v>
      </c>
      <c r="AN17" s="243">
        <f>IF(ISNUMBER('Resol  Asuntos'!D17/NºAsuntos!G17),'Resol  Asuntos'!D17/NºAsuntos!G17," - ")</f>
        <v>7.0297951582867779E-2</v>
      </c>
      <c r="AO17" s="244">
        <f>IF(ISNUMBER((NºAsuntos!C17+NºAsuntos!E17)/NºAsuntos!G17),(NºAsuntos!C17+NºAsuntos!E17)/NºAsuntos!G17," - ")</f>
        <v>1.2979515828677839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4504</v>
      </c>
      <c r="G18" s="865">
        <f>SUBTOTAL(9,G15:G17)</f>
        <v>5039</v>
      </c>
      <c r="H18" s="864">
        <f t="shared" ref="H18:O18" si="10">SUBTOTAL(9,H14:H17)</f>
        <v>0</v>
      </c>
      <c r="I18" s="866">
        <f t="shared" si="10"/>
        <v>0</v>
      </c>
      <c r="J18" s="866">
        <f t="shared" si="10"/>
        <v>0</v>
      </c>
      <c r="K18" s="866">
        <f t="shared" si="10"/>
        <v>0</v>
      </c>
      <c r="L18" s="866">
        <f t="shared" si="10"/>
        <v>696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28161</v>
      </c>
      <c r="X18" s="866">
        <f t="shared" si="11"/>
        <v>687</v>
      </c>
      <c r="Y18" s="867">
        <f t="shared" si="11"/>
        <v>28161</v>
      </c>
      <c r="Z18" s="867">
        <f t="shared" si="11"/>
        <v>0</v>
      </c>
      <c r="AA18" s="867">
        <f t="shared" si="11"/>
        <v>6922</v>
      </c>
      <c r="AB18" s="867">
        <f t="shared" si="11"/>
        <v>561</v>
      </c>
      <c r="AC18" s="867">
        <f t="shared" si="11"/>
        <v>7483</v>
      </c>
      <c r="AD18" s="867">
        <f t="shared" si="11"/>
        <v>0</v>
      </c>
      <c r="AE18" s="871">
        <f t="shared" si="11"/>
        <v>0</v>
      </c>
      <c r="AF18" s="864">
        <f t="shared" si="11"/>
        <v>0</v>
      </c>
      <c r="AG18" s="872">
        <f t="shared" si="11"/>
        <v>0</v>
      </c>
      <c r="AH18" s="869">
        <f t="shared" si="11"/>
        <v>0</v>
      </c>
      <c r="AI18" s="864">
        <f t="shared" si="11"/>
        <v>1861</v>
      </c>
      <c r="AJ18" s="866">
        <f t="shared" si="11"/>
        <v>0</v>
      </c>
      <c r="AK18" s="869">
        <f t="shared" si="11"/>
        <v>0</v>
      </c>
      <c r="AL18" s="873">
        <f>IF(ISNUMBER(NºAsuntos!G18/NºAsuntos!E18),NºAsuntos!G18/NºAsuntos!E18," - ")</f>
        <v>0.94105263157894736</v>
      </c>
      <c r="AM18" s="873">
        <f>IF(ISNUMBER(((NºAsuntos!I18/NºAsuntos!G18)*11)/factor_trimestre),((NºAsuntos!I18/NºAsuntos!G18)*11)/factor_trimestre," - ")</f>
        <v>2.7038102340115762</v>
      </c>
      <c r="AN18" s="874">
        <f>IF(ISNUMBER('Resol  Asuntos'!D18/NºAsuntos!G18),'Resol  Asuntos'!D18/NºAsuntos!G18," - ")</f>
        <v>6.6084300983629843E-2</v>
      </c>
      <c r="AO18" s="875">
        <f>IF(ISNUMBER((NºAsuntos!C18+NºAsuntos!E18)/NºAsuntos!G18),(NºAsuntos!C18+NºAsuntos!E18)/NºAsuntos!G18," - ")</f>
        <v>1.2415752281524093</v>
      </c>
      <c r="AP18" s="876" t="str">
        <f t="shared" si="2"/>
        <v xml:space="preserve"> - </v>
      </c>
      <c r="AQ18" s="876">
        <f>IF(ISNUMBER((H18-W18+K18)/(F18)),(H18-W18+K18)/(F18)," - ")</f>
        <v>-6.2524422735346361</v>
      </c>
      <c r="AR18" s="877">
        <f>IF(ISNUMBER((Datos!P18-Datos!Q18)/(Datos!R18-Datos!P18+Datos!Q18)),(Datos!P18-Datos!Q18)/(Datos!R18-Datos!P18+Datos!Q18)," - ")</f>
        <v>1.6304347826086956E-2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4697</v>
      </c>
      <c r="G19" s="820">
        <f t="shared" si="13"/>
        <v>5231</v>
      </c>
      <c r="H19" s="819">
        <f t="shared" si="13"/>
        <v>0</v>
      </c>
      <c r="I19" s="821">
        <f t="shared" si="13"/>
        <v>0</v>
      </c>
      <c r="J19" s="821">
        <f t="shared" si="13"/>
        <v>0</v>
      </c>
      <c r="K19" s="880">
        <f t="shared" si="13"/>
        <v>0</v>
      </c>
      <c r="L19" s="821">
        <f t="shared" si="13"/>
        <v>6372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28383</v>
      </c>
      <c r="X19" s="820">
        <f t="shared" si="14"/>
        <v>7993</v>
      </c>
      <c r="Y19" s="827">
        <f t="shared" si="14"/>
        <v>35689</v>
      </c>
      <c r="Z19" s="827">
        <f t="shared" si="14"/>
        <v>0</v>
      </c>
      <c r="AA19" s="827">
        <f t="shared" si="14"/>
        <v>7094</v>
      </c>
      <c r="AB19" s="827">
        <f t="shared" si="14"/>
        <v>16093</v>
      </c>
      <c r="AC19" s="827">
        <f t="shared" si="14"/>
        <v>7806</v>
      </c>
      <c r="AD19" s="827">
        <f t="shared" si="14"/>
        <v>0</v>
      </c>
      <c r="AE19" s="829">
        <f t="shared" si="14"/>
        <v>0</v>
      </c>
      <c r="AF19" s="830">
        <f t="shared" si="14"/>
        <v>0</v>
      </c>
      <c r="AG19" s="831">
        <f t="shared" si="14"/>
        <v>0</v>
      </c>
      <c r="AH19" s="829">
        <f t="shared" si="14"/>
        <v>0</v>
      </c>
      <c r="AI19" s="819">
        <f t="shared" si="14"/>
        <v>5879</v>
      </c>
      <c r="AJ19" s="819">
        <f t="shared" si="14"/>
        <v>0</v>
      </c>
      <c r="AK19" s="829">
        <f t="shared" si="14"/>
        <v>0</v>
      </c>
      <c r="AL19" s="883">
        <f>IF(ISNUMBER(NºAsuntos!G19/NºAsuntos!E19),NºAsuntos!G19/NºAsuntos!E19," - ")</f>
        <v>0.99014338734865237</v>
      </c>
      <c r="AM19" s="884">
        <f>IF(ISNUMBER(((NºAsuntos!I19/NºAsuntos!G19)*11)/factor_trimestre),((NºAsuntos!I19/NºAsuntos!G19)*11)/factor_trimestre," - ")</f>
        <v>5.0677372442186766</v>
      </c>
      <c r="AN19" s="884">
        <f>IF(ISNUMBER('Resol  Asuntos'!D19/NºAsuntos!G19),'Resol  Asuntos'!D19/NºAsuntos!G19," - ")</f>
        <v>0.12041949161221606</v>
      </c>
      <c r="AO19" s="885">
        <f>IF(ISNUMBER((NºAsuntos!C19+NºAsuntos!E19)/NºAsuntos!G19),(NºAsuntos!C19+NºAsuntos!E19)/NºAsuntos!G19," - ")</f>
        <v>1.469306241166711</v>
      </c>
      <c r="AP19" s="886" t="str">
        <f t="shared" si="2"/>
        <v xml:space="preserve"> - </v>
      </c>
      <c r="AQ19" s="887">
        <f>IF(OR(ISNUMBER(FIND("01",Criterios!A8,1)),ISNUMBER(FIND("02",Criterios!A8,1)),ISNUMBER(FIND("03",Criterios!A8,1)),ISNUMBER(FIND("04",Criterios!A8,1))),(I19-W19+K19)/(F19-K19),(H19-W19+K19)/(F19-K19))</f>
        <v>-6.042793272301469</v>
      </c>
      <c r="AR19" s="888">
        <f>IF(ISNUMBER((Datos!P19-Datos!Q19)/(Datos!R19-Datos!P19+Datos!Q19)),(Datos!P19-Datos!Q19)/(Datos!R19-Datos!P19+Datos!Q19)," - ")</f>
        <v>-9.1509540476459303E-2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2092.4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4.1833001326703778</v>
      </c>
      <c r="F21" s="251">
        <f>IF(ISNUMBER(STDEV(F8:F18)),STDEV(F8:F18),"-")</f>
        <v>2488.9570104764766</v>
      </c>
      <c r="G21" s="252">
        <f>IF(ISNUMBER(STDEV(G8:G18)),STDEV(G8:G18),"-")</f>
        <v>2408.3544797226177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14404.468150542732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1730.0537178557972</v>
      </c>
      <c r="AJ21" s="251">
        <f t="shared" si="18"/>
        <v>0</v>
      </c>
      <c r="AK21" s="253">
        <f t="shared" si="18"/>
        <v>0</v>
      </c>
      <c r="AL21" s="248">
        <f t="shared" si="18"/>
        <v>7.0371402428171345E-2</v>
      </c>
      <c r="AM21" s="249">
        <f t="shared" si="18"/>
        <v>3.0175784620856723</v>
      </c>
      <c r="AN21" s="249">
        <f t="shared" si="18"/>
        <v>0.12942992552677016</v>
      </c>
      <c r="AO21" s="250">
        <f t="shared" si="18"/>
        <v>0.28443817970459229</v>
      </c>
      <c r="AP21" s="290" t="str">
        <f t="shared" si="18"/>
        <v>-</v>
      </c>
      <c r="AQ21" s="291">
        <f t="shared" si="18"/>
        <v>3.6077883439439655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IlcL57F6FLsJYSwZuFbs3OrCFw/stwDXYgfptEpcZDOJ8sgqzDXQJKI5+bwNhrbGZH6tFBCX7nkh7sa1mwFOw==" saltValue="52u1mnPp5RChd6okBSH89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HOSPITALET DE LLOBREGAT, L'</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1.2104043265516354E-2</v>
      </c>
      <c r="I9" s="349">
        <f>IF(ISNUMBER((Tasas!C9-Datos!BE9)/Datos!BE9),(Tasas!C9-Datos!BE9)/Datos!BE9," - ")</f>
        <v>-0.10980875044720678</v>
      </c>
      <c r="J9" s="348">
        <f>IF(ISNUMBER((Tasas!D9-Datos!BF9)/Datos!BF9),(Tasas!D9-Datos!BF9)/Datos!BF9," - ")</f>
        <v>-0.62442481769983382</v>
      </c>
      <c r="K9" s="350">
        <f>IF(ISNUMBER((Tasas!E9-Datos!BG9)/Datos!BG9),(Tasas!E9-Datos!BG9)/Datos!BG9," - ")</f>
        <v>-3.7000225031855682E-2</v>
      </c>
      <c r="M9" t="e">
        <f>IF(Monitorios="SI",Datos!CE9,0)</f>
        <v>#REF!</v>
      </c>
      <c r="N9" t="e">
        <f>IF(Monitorios="SI",Datos!CF9,0)</f>
        <v>#REF!</v>
      </c>
      <c r="O9" t="e">
        <f>IF(Monitorios="SI",Datos!CG9,0)</f>
        <v>#REF!</v>
      </c>
      <c r="P9" t="e">
        <f>IF(Monitorios="SI",Datos!CH9,0)</f>
        <v>#REF!</v>
      </c>
      <c r="Q9">
        <f>IF(J_V="SI",0,Datos!AG9)</f>
        <v>555</v>
      </c>
      <c r="R9">
        <f>IF(J_V="SI",0,Datos!AH9)</f>
        <v>1328</v>
      </c>
      <c r="S9">
        <f>IF(J_V="SI",0,Datos!AI9)</f>
        <v>1397</v>
      </c>
      <c r="T9">
        <f>IF(J_V="SI",0,Datos!AJ9)</f>
        <v>491</v>
      </c>
    </row>
    <row r="10" spans="2:20" ht="14.25">
      <c r="B10" s="274" t="s">
        <v>246</v>
      </c>
      <c r="C10" s="7" t="str">
        <f>Datos!A10</f>
        <v>Jdos. Violencia contra la mujer/Secc Viol. TI.</v>
      </c>
      <c r="D10" s="351">
        <f>IF(ISNUMBER((Datos!I10-Datos!S10)/Datos!S10),(Datos!I10-Datos!S10)/Datos!S10," - ")</f>
        <v>-0.20987654320987653</v>
      </c>
      <c r="E10" s="347">
        <f>IF(ISNUMBER((Datos!J10-Datos!T10)/Datos!T10),(Datos!J10-Datos!T10)/Datos!T10," - ")</f>
        <v>-0.1222707423580786</v>
      </c>
      <c r="F10" s="347">
        <f>IF(ISNUMBER((Datos!K10-Datos!U10)/Datos!U10),(Datos!K10-Datos!U10)/Datos!U10," - ")</f>
        <v>0.21978021978021978</v>
      </c>
      <c r="G10" s="348">
        <f>IF(ISNUMBER((Datos!L10-Datos!V10)/Datos!V10),(Datos!L10-Datos!V10)/Datos!V10," - ")</f>
        <v>-0.10416666666666667</v>
      </c>
      <c r="H10" s="229">
        <f>IF(ISNUMBER((Datos!M10-Datos!W10)/Datos!W10),(Datos!M10-Datos!W10)/Datos!W10," - ")</f>
        <v>0.20547945205479451</v>
      </c>
      <c r="I10" s="349">
        <f>IF(ISNUMBER((Tasas!C10-Datos!BE10)/Datos!BE10),(Tasas!C10-Datos!BE10)/Datos!BE10," - ")</f>
        <v>-0.26557807807807815</v>
      </c>
      <c r="J10" s="348">
        <f>IF(ISNUMBER((Tasas!D10-Datos!BF10)/Datos!BF10),(Tasas!D10-Datos!BF10)/Datos!BF10," - ")</f>
        <v>-1.1724052819943266E-2</v>
      </c>
      <c r="K10" s="350">
        <f>IF(ISNUMBER((Tasas!E10-Datos!BG10)/Datos!BG10),(Tasas!E10-Datos!BG10)/Datos!BG10," - ")</f>
        <v>-0.31739578561612469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1.5672396359959553E-2</v>
      </c>
      <c r="I13" s="356">
        <f>IF(ISNUMBER((Tasas!C13-Datos!BE13)/Datos!BE13),(Tasas!C13-Datos!BE13)/Datos!BE13," - ")</f>
        <v>-0.11148182335825112</v>
      </c>
      <c r="J13" s="354">
        <f>IF(ISNUMBER((Tasas!D13-Datos!BF13)/Datos!BF13),(Tasas!D13-Datos!BF13)/Datos!BF13," - ")</f>
        <v>-0.61940922354659012</v>
      </c>
      <c r="K13" s="357">
        <f>IF(ISNUMBER((Tasas!E13-Datos!BG13)/Datos!BG13),(Tasas!E13-Datos!BG13)/Datos!BG13," - ")</f>
        <v>-4.0490631780255817E-2</v>
      </c>
      <c r="M13" t="e">
        <f>IF(Monitorios="SI",Datos!CE13,0)</f>
        <v>#REF!</v>
      </c>
      <c r="N13" t="e">
        <f>IF(Monitorios="SI",Datos!CF13,0)</f>
        <v>#REF!</v>
      </c>
      <c r="O13" t="e">
        <f>IF(Monitorios="SI",Datos!CG13,0)</f>
        <v>#REF!</v>
      </c>
      <c r="P13" t="e">
        <f>IF(Monitorios="SI",Datos!CH13,0)</f>
        <v>#REF!</v>
      </c>
      <c r="Q13">
        <f>IF(J_V="SI",0,Datos!AG13)</f>
        <v>555</v>
      </c>
      <c r="R13">
        <f>IF(J_V="SI",0,Datos!AH13)</f>
        <v>1328</v>
      </c>
      <c r="S13">
        <f>IF(J_V="SI",0,Datos!AI13)</f>
        <v>1397</v>
      </c>
      <c r="T13">
        <f>IF(J_V="SI",0,Datos!AJ13)</f>
        <v>491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0.15168243953732913</v>
      </c>
      <c r="E15" s="347">
        <f>IF(ISNUMBER(
   IF(D_I="SI",(Datos!J15-Datos!T15)/Datos!T15,(Datos!J15+Datos!AD15-(Datos!T15+Datos!AL15))/(Datos!T15+Datos!AL15))
     ),IF(D_I="SI",(Datos!J15-Datos!T15)/Datos!T15,(Datos!J15+Datos!AD15-(Datos!T15+Datos!AL15))/(Datos!T15+Datos!AL15))," - ")</f>
        <v>1.6307726059453728E-2</v>
      </c>
      <c r="F15" s="347">
        <f>IF(ISNUMBER(
   IF(D_I="SI",(Datos!K15-Datos!U15)/Datos!U15,(Datos!K15+Datos!AE15-(Datos!U15+Datos!AM15))/(Datos!U15+Datos!AM15))
     ),IF(D_I="SI",(Datos!K15-Datos!U15)/Datos!U15,(Datos!K15+Datos!AE15-(Datos!U15+Datos!AM15))/(Datos!U15+Datos!AM15))," - ")</f>
        <v>-3.63414092020449E-2</v>
      </c>
      <c r="G15" s="348">
        <f>IF(ISNUMBER(
   IF(D_I="SI",(Datos!L15-Datos!V15)/Datos!V15,(Datos!L15+Datos!AF15-(Datos!V15+Datos!AN15))/(Datos!V15+Datos!AN15))
     ),IF(D_I="SI",(Datos!L15-Datos!V15)/Datos!V15,(Datos!L15+Datos!AF15-(Datos!V15+Datos!AN15))/(Datos!V15+Datos!AN15))," - ")</f>
        <v>0.4348322300844556</v>
      </c>
      <c r="H15" s="229">
        <f>IF(ISNUMBER((Datos!M15-Datos!W15)/Datos!W15),(Datos!M15-Datos!W15)/Datos!W15," - ")</f>
        <v>-2.3415191319246145E-2</v>
      </c>
      <c r="I15" s="349">
        <f>IF(ISNUMBER((Tasas!C15-Datos!BE15)/Datos!BE15),(Tasas!C15-Datos!BE15)/Datos!BE15," - ")</f>
        <v>0.48894249870833029</v>
      </c>
      <c r="J15" s="348">
        <f>IF(ISNUMBER((Tasas!D15-Datos!BF15)/Datos!BF15),(Tasas!D15-Datos!BF15)/Datos!BF15," - ")</f>
        <v>1.341369029055753E-2</v>
      </c>
      <c r="K15" s="350">
        <f>IF(ISNUMBER((Tasas!E15-Datos!BG15)/Datos!BG15),(Tasas!E15-Datos!BG15)/Datos!BG15," - ")</f>
        <v>7.1788223333498491E-2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-0.20531400966183574</v>
      </c>
      <c r="E17" s="347">
        <f>IF(ISNUMBER(
   IF(D_I="SI",(Datos!J17-Datos!T17)/Datos!T17,(Datos!J17+Datos!AD17-(Datos!T17+Datos!AL17))/(Datos!T17+Datos!AL17))
     ),IF(D_I="SI",(Datos!J17-Datos!T17)/Datos!T17,(Datos!J17+Datos!AD17-(Datos!T17+Datos!AL17))/(Datos!T17+Datos!AL17))," - ")</f>
        <v>5.9701492537313432E-2</v>
      </c>
      <c r="F17" s="347">
        <f>IF(ISNUMBER(
   IF(D_I="SI",(Datos!K17-Datos!U17)/Datos!U17,(Datos!K17+Datos!AE17-(Datos!U17+Datos!AM17))/(Datos!U17+Datos!AM17))
     ),IF(D_I="SI",(Datos!K17-Datos!U17)/Datos!U17,(Datos!K17+Datos!AE17-(Datos!U17+Datos!AM17))/(Datos!U17+Datos!AM17))," - ")</f>
        <v>5.6566650270536152E-2</v>
      </c>
      <c r="G17" s="348">
        <f>IF(ISNUMBER(
   IF(D_I="SI",(Datos!L17-Datos!V17)/Datos!V17,(Datos!L17+Datos!AF17-(Datos!V17+Datos!AN17))/(Datos!V17+Datos!AN17))
     ),IF(D_I="SI",(Datos!L17-Datos!V17)/Datos!V17,(Datos!L17+Datos!AF17-(Datos!V17+Datos!AN17))/(Datos!V17+Datos!AN17))," - ")</f>
        <v>-3.3434650455927049E-2</v>
      </c>
      <c r="H17" s="229">
        <f>IF(ISNUMBER((Datos!M17-Datos!W17)/Datos!W17),(Datos!M17-Datos!W17)/Datos!W17," - ")</f>
        <v>0.38532110091743121</v>
      </c>
      <c r="I17" s="349">
        <f>IF(ISNUMBER((Tasas!C17-Datos!BE17)/Datos!BE17),(Tasas!C17-Datos!BE17)/Datos!BE17," - ")</f>
        <v>-8.5182795333752198E-2</v>
      </c>
      <c r="J17" s="348">
        <f>IF(ISNUMBER((Tasas!D17-Datos!BF17)/Datos!BF17),(Tasas!D17-Datos!BF17)/Datos!BF17," - ")</f>
        <v>0.3111535373208274</v>
      </c>
      <c r="K17" s="350">
        <f>IF(ISNUMBER((Tasas!E17-Datos!BG17)/Datos!BG17),(Tasas!E17-Datos!BG17)/Datos!BG17," - ")</f>
        <v>-7.0212978164128095E-2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8.7867012089810015E-2</v>
      </c>
      <c r="E18" s="353">
        <f>IF(ISNUMBER(
   IF(D_I="SI",(Datos!J18-Datos!T18)/Datos!T18,(Datos!J18+Datos!AD18-(Datos!T18+Datos!AL18))/(Datos!T18+Datos!AL18))
     ),IF(D_I="SI",(Datos!J18-Datos!T18)/Datos!T18,(Datos!J18+Datos!AD18-(Datos!T18+Datos!AL18))/(Datos!T18+Datos!AL18))," - ")</f>
        <v>1.9278585782894514E-2</v>
      </c>
      <c r="F18" s="353">
        <f>IF(ISNUMBER(
   IF(D_I="SI",(Datos!K18-Datos!U18)/Datos!U18,(Datos!K18+Datos!AE18-(Datos!U18+Datos!AM18))/(Datos!U18+Datos!AM18))
     ),IF(D_I="SI",(Datos!K18-Datos!U18)/Datos!U18,(Datos!K18+Datos!AE18-(Datos!U18+Datos!AM18))/(Datos!U18+Datos!AM18))," - ")</f>
        <v>-2.9834292210700383E-2</v>
      </c>
      <c r="G18" s="354">
        <f>IF(ISNUMBER(
   IF(D_I="SI",(Datos!L18-Datos!V18)/Datos!V18,(Datos!L18+Datos!AF18-(Datos!V18+Datos!AN18))/(Datos!V18+Datos!AN18))
     ),IF(D_I="SI",(Datos!L18-Datos!V18)/Datos!V18,(Datos!L18+Datos!AF18-(Datos!V18+Datos!AN18))/(Datos!V18+Datos!AN18))," - ")</f>
        <v>0.37368525501091487</v>
      </c>
      <c r="H18" s="355">
        <f>IF(ISNUMBER((Datos!M18-Datos!W18)/Datos!W18),(Datos!M18-Datos!W18)/Datos!W18," - ")</f>
        <v>5.3763440860215054E-4</v>
      </c>
      <c r="I18" s="356">
        <f>IF(ISNUMBER((Tasas!C18-Datos!BE18)/Datos!BE18),(Tasas!C18-Datos!BE18)/Datos!BE18," - ")</f>
        <v>0.41592847900294116</v>
      </c>
      <c r="J18" s="354">
        <f>IF(ISNUMBER((Tasas!D18-Datos!BF18)/Datos!BF18),(Tasas!D18-Datos!BF18)/Datos!BF18," - ")</f>
        <v>3.1305916479474998E-2</v>
      </c>
      <c r="K18" s="357">
        <f>IF(ISNUMBER((Tasas!E18-Datos!BG18)/Datos!BG18),(Tasas!E18-Datos!BG18)/Datos!BG18," - ")</f>
        <v>6.0257248906474721E-2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-2.3172750239567906E-2</v>
      </c>
      <c r="E19" s="362">
        <f>IF(ISNUMBER(
   IF(J_V="SI",(Datos!J19-Datos!T19)/Datos!T19,(Datos!J19+Datos!Z19-(Datos!T19+Datos!AH19))/(Datos!T19+Datos!AH19))
     ),IF(J_V="SI",(Datos!J19-Datos!T19)/Datos!T19,(Datos!J19+Datos!Z19-(Datos!T19+Datos!AH19))/(Datos!T19+Datos!AH19))," - ")</f>
        <v>5.1370910202833556E-3</v>
      </c>
      <c r="F19" s="362">
        <f>IF(ISNUMBER(
   IF(J_V="SI",(Datos!K19-Datos!U19)/Datos!U19,(Datos!K19+Datos!AA19-(Datos!U19+Datos!AI19))/(Datos!U19+Datos!AI19))
     ),IF(J_V="SI",(Datos!K19-Datos!U19)/Datos!U19,(Datos!K19+Datos!AA19-(Datos!U19+Datos!AI19))/(Datos!U19+Datos!AI19))," - ")</f>
        <v>-1.4234947300407867E-2</v>
      </c>
      <c r="G19" s="363">
        <f>IF(ISNUMBER(
   IF(J_V="SI",(Datos!L19-Datos!V19)/Datos!V19,(Datos!L19+Datos!AB19-(Datos!V19+Datos!AJ19))/(Datos!V19+Datos!AJ19))
     ),IF(J_V="SI",(Datos!L19-Datos!V19)/Datos!V19,(Datos!L19+Datos!AB19-(Datos!V19+Datos!AJ19))/(Datos!V19+Datos!AJ19))," - ")</f>
        <v>2.943012574690092E-3</v>
      </c>
      <c r="H19" s="364">
        <f>IF(ISNUMBER((Datos!M19-Datos!W19)/Datos!W19),(Datos!M19-Datos!W19)/Datos!W19," - ")</f>
        <v>1.0832187070151307E-2</v>
      </c>
      <c r="I19" s="361">
        <f>IF(ISNUMBER((Tasas!C19-Datos!BE19)/Datos!BE19),(Tasas!C19-Datos!BE19)/Datos!BE19," - ")</f>
        <v>1.7426018327647889E-2</v>
      </c>
      <c r="J19" s="362">
        <f>IF(ISNUMBER((Tasas!D19-Datos!BF19)/Datos!BF19),(Tasas!D19-Datos!BF19)/Datos!BF19," - ")</f>
        <v>-0.51650622281421865</v>
      </c>
      <c r="K19" s="363">
        <f>IF(ISNUMBER((Tasas!E19-Datos!BG19)/Datos!BG19),(Tasas!E19-Datos!BG19)/Datos!BG19," - ")</f>
        <v>1.0496172913536887E-2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0.19080332904077982</v>
      </c>
      <c r="E21" s="277">
        <f t="shared" si="1"/>
        <v>7.9519366009189574E-2</v>
      </c>
      <c r="F21" s="277">
        <f t="shared" si="1"/>
        <v>0.1192629223079663</v>
      </c>
      <c r="G21" s="278">
        <f t="shared" si="1"/>
        <v>0.27577538101175086</v>
      </c>
      <c r="H21" s="284">
        <f t="shared" si="1"/>
        <v>0.16278321690044795</v>
      </c>
      <c r="I21" s="276">
        <f t="shared" si="1"/>
        <v>0.31492023630322052</v>
      </c>
      <c r="J21" s="277">
        <f t="shared" si="1"/>
        <v>0.38387044750391364</v>
      </c>
      <c r="K21" s="278">
        <f t="shared" si="1"/>
        <v>0.14069500989252834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9oRvhitBB+HQ1oQIfB9jx5tlB4OWww7ksPhmHsfxHoWqwrk8uaPnrJee60ih3yrNXQoJBNJv0RxvHt3A4V3/BQ==" saltValue="YRU4pAbkDdkNFw6VQdMI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